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vbaProject.bin" ContentType="application/vnd.ms-office.vbaProject"/>
  <Override PartName="/xl/worksheets/sheet1.xml" ContentType="application/vnd.openxmlformats-officedocument.spreadsheetml.worksheet+xml"/>
  <Override PartName="/xl/worksheets/sheet2.xml" ContentType="application/vnd.openxmlformats-officedocument.spreadsheetml.worksheet+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13.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omments1.xml" ContentType="application/vnd.openxmlformats-officedocument.spreadsheetml.comments+xml"/>
  <Override PartName="/xl/metadata.xml" ContentType="application/vnd.openxmlformats-officedocument.spreadsheetml.sheetMetadata+xml"/>
  <Override PartName="/xl/ctrlProps/ctrlProp1.xml" ContentType="application/vnd.ms-excel.controlproperties+xml"/>
  <Override PartName="/xl/ctrlProps/ctrlProp137.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138.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39.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40.xml" ContentType="application/vnd.ms-excel.controlproperties+xml"/>
  <Override PartName="/xl/ctrlProps/ctrlProp12.xml" ContentType="application/vnd.ms-excel.controlproperties+xml"/>
  <Override PartName="/xl/ctrlProps/ctrlProp14.xml" ContentType="application/vnd.ms-excel.controlpropertie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trlProps/ctrlProp96.xml" ContentType="application/vnd.ms-excel.controlproperties+xml"/>
  <Override PartName="/xl/customProperty18.bin" ContentType="application/vnd.openxmlformats-officedocument.spreadsheetml.customProperty"/>
  <Override PartName="/xl/customProperty19.bin" ContentType="application/vnd.openxmlformats-officedocument.spreadsheetml.customProperty"/>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41.xml" ContentType="application/vnd.ms-excel.controlproperties+xml"/>
  <Override PartName="/xl/calcChain.xml" ContentType="application/vnd.openxmlformats-officedocument.spreadsheetml.calcChain+xml"/>
  <Override PartName="/xl/ctrlProps/ctrlProp18.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ustomProperty17.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codeName="{26A90621-87C4-6C01-FD6A-EE6E7C140903}"/>
  <workbookPr codeName="DieseArbeitsmappe" defaultThemeVersion="124226"/>
  <mc:AlternateContent xmlns:mc="http://schemas.openxmlformats.org/markup-compatibility/2006">
    <mc:Choice Requires="x15">
      <x15ac:absPath xmlns:x15ac="http://schemas.microsoft.com/office/spreadsheetml/2010/11/ac" url="C:\Laufwerk_salzmmi\02_Vorlagen\04_PDS\Freigabeversion_2K_i105\"/>
    </mc:Choice>
  </mc:AlternateContent>
  <xr:revisionPtr revIDLastSave="0" documentId="13_ncr:1_{59E37466-E3BF-4C43-BEB6-EEC8F2658338}" xr6:coauthVersionLast="47" xr6:coauthVersionMax="47" xr10:uidLastSave="{00000000-0000-0000-0000-000000000000}"/>
  <bookViews>
    <workbookView xWindow="3180" yWindow="2340" windowWidth="21600" windowHeight="12585" tabRatio="531" xr2:uid="{00000000-000D-0000-FFFF-FFFF00000000}"/>
  </bookViews>
  <sheets>
    <sheet name="1 Injection molding 2K . 3K" sheetId="26" r:id="rId1"/>
    <sheet name="2.1 K1-Analysis" sheetId="27" state="hidden" r:id="rId2"/>
    <sheet name="2.2 K2-Analysis" sheetId="31" state="hidden" r:id="rId3"/>
    <sheet name="2.3 K3-Analysis" sheetId="32" state="hidden" r:id="rId4"/>
    <sheet name="3 Selection fields" sheetId="25" state="hidden" r:id="rId5"/>
    <sheet name="4 Language" sheetId="2" state="hidden" r:id="rId6"/>
    <sheet name="5 Overview" sheetId="7" state="hidden" r:id="rId7"/>
  </sheets>
  <definedNames>
    <definedName name="_xlnm._FilterDatabase" localSheetId="5" hidden="1">'4 Language'!$A$11:$H$599</definedName>
    <definedName name="_xlnm._FilterDatabase" localSheetId="6" hidden="1">'5 Overview'!$A$38:$A$88</definedName>
    <definedName name="_xlnm.Print_Area" localSheetId="0">'1 Injection molding 2K . 3K'!$B$2:$AB$170</definedName>
    <definedName name="_xlnm.Print_Area" localSheetId="4">'3 Selection fields'!#REF!</definedName>
    <definedName name="_xlnm.Print_Area" localSheetId="5">'4 Language'!$A$11:$D$199</definedName>
    <definedName name="_xlnm.Print_Area" localSheetId="6">'5 Overview'!$B$1:$AB$32</definedName>
    <definedName name="_xlnm.Print_Titles" localSheetId="0">'1 Injection molding 2K . 3K'!$2:$7</definedName>
    <definedName name="_xlnm.Print_Titles" localSheetId="6">'5 Overview'!$1:$4</definedName>
    <definedName name="Name" localSheetId="0">#REF!</definedName>
    <definedName name="Name" localSheetId="4">#REF!</definedName>
    <definedName name="Name">#REF!</definedName>
    <definedName name="Wert" localSheetId="0">#REF!</definedName>
    <definedName name="Wert" localSheetId="4">#REF!</definedName>
    <definedName name="Wer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B22" i="25" l="1"/>
  <c r="AB21" i="25"/>
  <c r="AB20" i="25"/>
  <c r="AB18" i="25"/>
  <c r="D3" i="26"/>
  <c r="D2" i="26"/>
  <c r="AL147" i="26" l="1"/>
  <c r="AK147" i="26"/>
  <c r="AL144" i="26"/>
  <c r="AL141" i="26"/>
  <c r="AK141" i="26"/>
  <c r="AL139" i="26"/>
  <c r="AK139" i="26"/>
  <c r="M146" i="26"/>
  <c r="K146" i="26"/>
  <c r="M140" i="26"/>
  <c r="K140" i="26"/>
  <c r="K141" i="26"/>
  <c r="Q138" i="26"/>
  <c r="B138" i="26"/>
  <c r="M138" i="26"/>
  <c r="K138" i="26"/>
  <c r="B137" i="26"/>
  <c r="AK45" i="32"/>
  <c r="AK45" i="31"/>
  <c r="AB20" i="32"/>
  <c r="AB18" i="32"/>
  <c r="AB20" i="31"/>
  <c r="AB18" i="31"/>
  <c r="AW46" i="32"/>
  <c r="AW37" i="32"/>
  <c r="AV37" i="32" s="1" a="1"/>
  <c r="AV37" i="32" s="1"/>
  <c r="AW36" i="32"/>
  <c r="AV36" i="32" a="1"/>
  <c r="AV36" i="32" s="1"/>
  <c r="AW46" i="31"/>
  <c r="AW37" i="31"/>
  <c r="AV37" i="31" s="1" a="1"/>
  <c r="AV37" i="31" s="1"/>
  <c r="AW36" i="31"/>
  <c r="AV36" i="31" a="1"/>
  <c r="AV36" i="31" s="1"/>
  <c r="AW46" i="27"/>
  <c r="AK45" i="27"/>
  <c r="AB20" i="27"/>
  <c r="AB18" i="27"/>
  <c r="AW37" i="27" l="1"/>
  <c r="AW36" i="27"/>
  <c r="P50" i="31"/>
  <c r="P50" i="32"/>
  <c r="P50" i="27"/>
  <c r="P48" i="31"/>
  <c r="P48" i="32"/>
  <c r="P48" i="27"/>
  <c r="B45" i="31"/>
  <c r="B45" i="32"/>
  <c r="B45" i="27"/>
  <c r="P53" i="31"/>
  <c r="P53" i="32"/>
  <c r="P53" i="27"/>
  <c r="R78" i="26" l="1"/>
  <c r="R13" i="25" l="1"/>
  <c r="R12" i="25"/>
  <c r="R11" i="25"/>
  <c r="AF15" i="25"/>
  <c r="AH12" i="25"/>
  <c r="AH13" i="25"/>
  <c r="K78" i="26"/>
  <c r="X78" i="26"/>
  <c r="B78" i="26"/>
  <c r="AH16" i="25" l="1"/>
  <c r="AF16" i="25"/>
  <c r="AH23" i="25"/>
  <c r="AH22" i="25"/>
  <c r="AH21" i="25"/>
  <c r="AH20" i="25"/>
  <c r="AH19" i="25"/>
  <c r="AH18" i="25"/>
  <c r="B7" i="26"/>
  <c r="B6" i="26"/>
  <c r="B106" i="26"/>
  <c r="B118" i="26"/>
  <c r="H118" i="26"/>
  <c r="AK111" i="26"/>
  <c r="B93" i="26"/>
  <c r="B60" i="26"/>
  <c r="E16" i="7"/>
  <c r="J101" i="26"/>
  <c r="B101" i="26"/>
  <c r="AD25" i="25"/>
  <c r="AD24" i="25"/>
  <c r="AD23" i="25"/>
  <c r="AD22" i="25"/>
  <c r="AD21" i="25"/>
  <c r="AD20" i="25"/>
  <c r="AD19" i="25"/>
  <c r="AD18" i="25"/>
  <c r="Z111" i="26" l="1"/>
  <c r="AK109" i="26"/>
  <c r="N109" i="26" s="1"/>
  <c r="AL110" i="26"/>
  <c r="AA110" i="26" s="1"/>
  <c r="AL111" i="26"/>
  <c r="AA111" i="26" s="1"/>
  <c r="AL109" i="26"/>
  <c r="AA109" i="26" s="1"/>
  <c r="AD12" i="25"/>
  <c r="AD13" i="25"/>
  <c r="AD11" i="25"/>
  <c r="AD16" i="25"/>
  <c r="AB16" i="25"/>
  <c r="Q114" i="26"/>
  <c r="B114" i="26"/>
  <c r="J106" i="26"/>
  <c r="B103" i="26"/>
  <c r="N111" i="26" l="1"/>
  <c r="T111" i="26"/>
  <c r="T109" i="26"/>
  <c r="Z109" i="26"/>
  <c r="O111" i="26"/>
  <c r="U111" i="26"/>
  <c r="O110" i="26"/>
  <c r="U110" i="26"/>
  <c r="O109" i="26"/>
  <c r="U109" i="26"/>
  <c r="B104" i="26" l="1"/>
  <c r="AC4" i="25"/>
  <c r="Z108" i="26"/>
  <c r="T108" i="26"/>
  <c r="N108" i="26"/>
  <c r="K8" i="25"/>
  <c r="I9" i="25"/>
  <c r="G10" i="25"/>
  <c r="E11" i="25"/>
  <c r="C12" i="25"/>
  <c r="A13" i="25"/>
  <c r="Q5" i="25"/>
  <c r="AB19" i="25"/>
  <c r="AB13" i="25"/>
  <c r="AB12" i="25"/>
  <c r="AB11" i="25"/>
  <c r="P13" i="25"/>
  <c r="P11" i="25"/>
  <c r="F7" i="25"/>
  <c r="B102" i="26" l="1"/>
  <c r="B169" i="26"/>
  <c r="B162" i="26"/>
  <c r="Z9" i="26"/>
  <c r="AP42" i="32" l="1"/>
  <c r="J42" i="32" s="1"/>
  <c r="AP41" i="32"/>
  <c r="J41" i="32" s="1"/>
  <c r="AP40" i="32"/>
  <c r="J40" i="32" s="1"/>
  <c r="AW40" i="32" s="1"/>
  <c r="AV40" i="32" s="1" a="1"/>
  <c r="AV40" i="32" s="1"/>
  <c r="AP39" i="32"/>
  <c r="J39" i="32" s="1"/>
  <c r="AW39" i="32" s="1"/>
  <c r="AP38" i="32"/>
  <c r="J38" i="32" s="1"/>
  <c r="AW38" i="32" s="1"/>
  <c r="AP35" i="32"/>
  <c r="J35" i="32" s="1"/>
  <c r="AO31" i="32"/>
  <c r="AP31" i="32"/>
  <c r="J31" i="32" s="1"/>
  <c r="AW31" i="32" s="1"/>
  <c r="AV31" i="32" s="1" a="1"/>
  <c r="AV31" i="32" s="1"/>
  <c r="AP30" i="32"/>
  <c r="J30" i="32" s="1"/>
  <c r="AQ29" i="32"/>
  <c r="K29" i="32" s="1"/>
  <c r="AX29" i="32" s="1"/>
  <c r="AO29" i="32"/>
  <c r="J29" i="32" s="1"/>
  <c r="AW29" i="32" s="1"/>
  <c r="AV29" i="32" s="1" a="1"/>
  <c r="AV29" i="32" s="1"/>
  <c r="AP28" i="32"/>
  <c r="J27" i="32" s="1"/>
  <c r="AW27" i="32" s="1"/>
  <c r="AP26" i="32"/>
  <c r="J26" i="32" s="1"/>
  <c r="AW26" i="32" s="1"/>
  <c r="AV26" i="32" s="1" a="1"/>
  <c r="AV26" i="32" s="1"/>
  <c r="AP25" i="32"/>
  <c r="J25" i="32" s="1"/>
  <c r="AW25" i="32" s="1"/>
  <c r="AQ22" i="32"/>
  <c r="AQ23" i="32"/>
  <c r="AP23" i="32"/>
  <c r="AP22" i="32"/>
  <c r="AO23" i="32"/>
  <c r="AO22" i="32"/>
  <c r="AN23" i="32"/>
  <c r="AN22" i="32"/>
  <c r="AM23" i="32"/>
  <c r="AM22" i="32"/>
  <c r="AQ20" i="32"/>
  <c r="K22" i="32" s="1"/>
  <c r="AX22" i="32" s="1"/>
  <c r="AO20" i="32"/>
  <c r="J22" i="32" s="1"/>
  <c r="AW22" i="32" s="1"/>
  <c r="AP15" i="32"/>
  <c r="J16" i="32" s="1"/>
  <c r="AW16" i="32" s="1"/>
  <c r="AV16" i="32" s="1" a="1"/>
  <c r="AV16" i="32" s="1"/>
  <c r="AP14" i="32"/>
  <c r="J15" i="32" s="1"/>
  <c r="AW15" i="32" s="1"/>
  <c r="AV15" i="32" s="1" a="1"/>
  <c r="AV15" i="32" s="1"/>
  <c r="AP13" i="32"/>
  <c r="J14" i="32" s="1"/>
  <c r="AW14" i="32" s="1"/>
  <c r="AV14" i="32" s="1" a="1"/>
  <c r="AV14" i="32" s="1"/>
  <c r="AP12" i="32"/>
  <c r="J13" i="32" s="1"/>
  <c r="AW13" i="32" s="1"/>
  <c r="AP11" i="32"/>
  <c r="J12" i="32" s="1"/>
  <c r="AW12" i="32" s="1"/>
  <c r="AV12" i="32" s="1" a="1"/>
  <c r="AV12" i="32" s="1"/>
  <c r="P47" i="32"/>
  <c r="B46" i="32"/>
  <c r="P45" i="32"/>
  <c r="P44" i="32"/>
  <c r="B44" i="32"/>
  <c r="AK43" i="32"/>
  <c r="AK42" i="32"/>
  <c r="P42" i="32"/>
  <c r="B42" i="32"/>
  <c r="AK41" i="32"/>
  <c r="P41" i="32"/>
  <c r="B41" i="32"/>
  <c r="AK40" i="32"/>
  <c r="B40" i="32"/>
  <c r="AK39" i="32"/>
  <c r="P39" i="32"/>
  <c r="B39" i="32"/>
  <c r="AK38" i="32"/>
  <c r="P38" i="32"/>
  <c r="B38" i="32"/>
  <c r="AK37" i="32"/>
  <c r="P37" i="32"/>
  <c r="J37" i="32"/>
  <c r="B37" i="32"/>
  <c r="AK36" i="32"/>
  <c r="J36" i="32"/>
  <c r="B36" i="32"/>
  <c r="AK35" i="32"/>
  <c r="B35" i="32"/>
  <c r="AK34" i="32"/>
  <c r="P34" i="32"/>
  <c r="B34" i="32"/>
  <c r="AK33" i="32"/>
  <c r="B33" i="32"/>
  <c r="P32" i="32"/>
  <c r="B32" i="32"/>
  <c r="AK31" i="32"/>
  <c r="B31" i="32"/>
  <c r="AK30" i="32"/>
  <c r="P30" i="32"/>
  <c r="B30" i="32"/>
  <c r="AK29" i="32"/>
  <c r="B29" i="32"/>
  <c r="AK28" i="32"/>
  <c r="P28" i="32"/>
  <c r="AS27" i="32"/>
  <c r="B27" i="32"/>
  <c r="AK26" i="32"/>
  <c r="P26" i="32"/>
  <c r="B26" i="32"/>
  <c r="AK25" i="32"/>
  <c r="B25" i="32"/>
  <c r="AK24" i="32"/>
  <c r="P24" i="32"/>
  <c r="B24" i="32"/>
  <c r="AK23" i="32"/>
  <c r="B23" i="32"/>
  <c r="AK22" i="32"/>
  <c r="P22" i="32"/>
  <c r="B22" i="32"/>
  <c r="AK21" i="32"/>
  <c r="B21" i="32"/>
  <c r="AK20" i="32"/>
  <c r="P20" i="32"/>
  <c r="B20" i="32"/>
  <c r="AT19" i="32"/>
  <c r="B19" i="32"/>
  <c r="AT18" i="32"/>
  <c r="AP18" i="32"/>
  <c r="J19" i="32" s="1"/>
  <c r="AW19" i="32" s="1"/>
  <c r="AV19" i="32" s="1" a="1"/>
  <c r="AV19" i="32" s="1"/>
  <c r="AK18" i="32"/>
  <c r="P18" i="32"/>
  <c r="B18" i="32"/>
  <c r="AT17" i="32"/>
  <c r="B17" i="32"/>
  <c r="AT16" i="32"/>
  <c r="B16" i="32"/>
  <c r="AK15" i="32"/>
  <c r="P15" i="32"/>
  <c r="B15" i="32"/>
  <c r="AK14" i="32"/>
  <c r="B14" i="32"/>
  <c r="AK13" i="32"/>
  <c r="P13" i="32"/>
  <c r="B13" i="32"/>
  <c r="AK12" i="32"/>
  <c r="P12" i="32"/>
  <c r="B12" i="32"/>
  <c r="AK11" i="32"/>
  <c r="B11" i="32"/>
  <c r="AP10" i="32"/>
  <c r="J11" i="32" s="1"/>
  <c r="AW11" i="32" s="1"/>
  <c r="AV11" i="32" s="1" a="1"/>
  <c r="AV11" i="32" s="1"/>
  <c r="AK10" i="32"/>
  <c r="B10" i="32"/>
  <c r="AP9" i="32"/>
  <c r="J10" i="32" s="1"/>
  <c r="AW10" i="32" s="1"/>
  <c r="AV10" i="32" s="1" a="1"/>
  <c r="AV10" i="32" s="1"/>
  <c r="AK9" i="32"/>
  <c r="P9" i="32"/>
  <c r="P8" i="32"/>
  <c r="AK7" i="32"/>
  <c r="P6" i="32"/>
  <c r="B5" i="32"/>
  <c r="AC4" i="32"/>
  <c r="X4" i="32"/>
  <c r="P4" i="32"/>
  <c r="M4" i="32"/>
  <c r="J4" i="32"/>
  <c r="B4" i="32"/>
  <c r="AC2" i="32"/>
  <c r="P2" i="32"/>
  <c r="K2" i="32"/>
  <c r="B2" i="32"/>
  <c r="K1" i="32"/>
  <c r="H1" i="32"/>
  <c r="AP42" i="31"/>
  <c r="J42" i="31" s="1"/>
  <c r="AP41" i="31"/>
  <c r="J41" i="31" s="1"/>
  <c r="AP40" i="31"/>
  <c r="J40" i="31" s="1"/>
  <c r="AW40" i="31" s="1"/>
  <c r="AV40" i="31" s="1" a="1"/>
  <c r="AV40" i="31" s="1"/>
  <c r="AP39" i="31"/>
  <c r="J39" i="31" s="1"/>
  <c r="AW39" i="31" s="1"/>
  <c r="AP38" i="31"/>
  <c r="J38" i="31" s="1"/>
  <c r="AW38" i="31" s="1"/>
  <c r="AP35" i="31"/>
  <c r="J35" i="31" s="1"/>
  <c r="AO31" i="31"/>
  <c r="AP31" i="31"/>
  <c r="J31" i="31" s="1"/>
  <c r="AW31" i="31" s="1"/>
  <c r="AV31" i="31" s="1" a="1"/>
  <c r="AV31" i="31" s="1"/>
  <c r="AP30" i="31"/>
  <c r="J30" i="31" s="1"/>
  <c r="AQ29" i="31"/>
  <c r="K29" i="31" s="1"/>
  <c r="AX29" i="31" s="1"/>
  <c r="AO29" i="31"/>
  <c r="J29" i="31" s="1"/>
  <c r="AW29" i="31" s="1"/>
  <c r="AV29" i="31" s="1" a="1"/>
  <c r="AV29" i="31" s="1"/>
  <c r="AP28" i="31"/>
  <c r="J27" i="31" s="1"/>
  <c r="AW27" i="31" s="1"/>
  <c r="AP26" i="31"/>
  <c r="J26" i="31" s="1"/>
  <c r="AW26" i="31" s="1"/>
  <c r="AV26" i="31" s="1" a="1"/>
  <c r="AV26" i="31" s="1"/>
  <c r="AP25" i="31"/>
  <c r="J25" i="31" s="1"/>
  <c r="AW25" i="31" s="1"/>
  <c r="AQ23" i="31"/>
  <c r="AQ22" i="31"/>
  <c r="AP23" i="31"/>
  <c r="AP22" i="31"/>
  <c r="AO23" i="31"/>
  <c r="AN23" i="31"/>
  <c r="AM23" i="31"/>
  <c r="AO22" i="31"/>
  <c r="AN22" i="31"/>
  <c r="AM22" i="31"/>
  <c r="AQ20" i="31"/>
  <c r="K22" i="31" s="1"/>
  <c r="AX22" i="31" s="1"/>
  <c r="AO20" i="31"/>
  <c r="J22" i="31" s="1"/>
  <c r="AW22" i="31" s="1"/>
  <c r="AP11" i="31"/>
  <c r="J12" i="31" s="1"/>
  <c r="AW12" i="31" s="1"/>
  <c r="AV12" i="31" s="1" a="1"/>
  <c r="AV12" i="31" s="1"/>
  <c r="AP15" i="31"/>
  <c r="J16" i="31" s="1"/>
  <c r="AW16" i="31" s="1"/>
  <c r="AV16" i="31" s="1" a="1"/>
  <c r="AV16" i="31" s="1"/>
  <c r="AP14" i="31"/>
  <c r="J15" i="31" s="1"/>
  <c r="AW15" i="31" s="1"/>
  <c r="AV15" i="31" s="1" a="1"/>
  <c r="AV15" i="31" s="1"/>
  <c r="AP13" i="31"/>
  <c r="J14" i="31" s="1"/>
  <c r="AW14" i="31" s="1"/>
  <c r="AV14" i="31" s="1" a="1"/>
  <c r="AV14" i="31" s="1"/>
  <c r="AP12" i="31"/>
  <c r="J13" i="31" s="1"/>
  <c r="AW13" i="31" s="1"/>
  <c r="AP10" i="31"/>
  <c r="J11" i="31" s="1"/>
  <c r="AW11" i="31" s="1"/>
  <c r="AV11" i="31" s="1" a="1"/>
  <c r="AV11" i="31" s="1"/>
  <c r="AP9" i="31"/>
  <c r="J10" i="31" s="1"/>
  <c r="AW10" i="31" s="1"/>
  <c r="AV10" i="31" s="1" a="1"/>
  <c r="AV10" i="31" s="1"/>
  <c r="AK9" i="27"/>
  <c r="AK10" i="27"/>
  <c r="P47" i="31"/>
  <c r="B46" i="31"/>
  <c r="P45" i="31"/>
  <c r="P44" i="31"/>
  <c r="B44" i="31"/>
  <c r="AK43" i="31"/>
  <c r="AK42" i="31"/>
  <c r="P42" i="31"/>
  <c r="B42" i="31"/>
  <c r="AK41" i="31"/>
  <c r="P41" i="31"/>
  <c r="B41" i="31"/>
  <c r="AK40" i="31"/>
  <c r="B40" i="31"/>
  <c r="AK39" i="31"/>
  <c r="P39" i="31"/>
  <c r="B39" i="31"/>
  <c r="AK38" i="31"/>
  <c r="P38" i="31"/>
  <c r="B38" i="31"/>
  <c r="AK37" i="31"/>
  <c r="P37" i="31"/>
  <c r="J37" i="31"/>
  <c r="B37" i="31"/>
  <c r="AK36" i="31"/>
  <c r="J36" i="31"/>
  <c r="B36" i="31"/>
  <c r="AK35" i="31"/>
  <c r="B35" i="31"/>
  <c r="AK34" i="31"/>
  <c r="P34" i="31"/>
  <c r="B34" i="31"/>
  <c r="AK33" i="31"/>
  <c r="B33" i="31"/>
  <c r="P32" i="31"/>
  <c r="B32" i="31"/>
  <c r="AK31" i="31"/>
  <c r="B31" i="31"/>
  <c r="AK30" i="31"/>
  <c r="P30" i="31"/>
  <c r="B30" i="31"/>
  <c r="AK29" i="31"/>
  <c r="B29" i="31"/>
  <c r="AK28" i="31"/>
  <c r="P28" i="31"/>
  <c r="AS27" i="31"/>
  <c r="B27" i="31"/>
  <c r="AK26" i="31"/>
  <c r="P26" i="31"/>
  <c r="B26" i="31"/>
  <c r="AK25" i="31"/>
  <c r="B25" i="31"/>
  <c r="AK24" i="31"/>
  <c r="P24" i="31"/>
  <c r="B24" i="31"/>
  <c r="AK23" i="31"/>
  <c r="B23" i="31"/>
  <c r="AK22" i="31"/>
  <c r="P22" i="31"/>
  <c r="B22" i="31"/>
  <c r="AK21" i="31"/>
  <c r="B21" i="31"/>
  <c r="AK20" i="31"/>
  <c r="P20" i="31"/>
  <c r="B20" i="31"/>
  <c r="AT19" i="31"/>
  <c r="B19" i="31"/>
  <c r="AT18" i="31"/>
  <c r="AP18" i="31"/>
  <c r="J19" i="31" s="1"/>
  <c r="AW19" i="31" s="1"/>
  <c r="AV19" i="31" s="1" a="1"/>
  <c r="AV19" i="31" s="1"/>
  <c r="AK18" i="31"/>
  <c r="P18" i="31"/>
  <c r="B18" i="31"/>
  <c r="AT17" i="31"/>
  <c r="B17" i="31"/>
  <c r="AT16" i="31"/>
  <c r="B16" i="31"/>
  <c r="AK15" i="31"/>
  <c r="P15" i="31"/>
  <c r="B15" i="31"/>
  <c r="AK14" i="31"/>
  <c r="B14" i="31"/>
  <c r="AK13" i="31"/>
  <c r="P13" i="31"/>
  <c r="B13" i="31"/>
  <c r="AK12" i="31"/>
  <c r="P12" i="31"/>
  <c r="B12" i="31"/>
  <c r="AK11" i="31"/>
  <c r="B11" i="31"/>
  <c r="AK10" i="31"/>
  <c r="B10" i="31"/>
  <c r="AK9" i="31"/>
  <c r="P9" i="31"/>
  <c r="P8" i="31"/>
  <c r="AK7" i="31"/>
  <c r="P6" i="31"/>
  <c r="B5" i="31"/>
  <c r="AC4" i="31"/>
  <c r="X4" i="31"/>
  <c r="P4" i="31"/>
  <c r="M4" i="31"/>
  <c r="J4" i="31"/>
  <c r="B4" i="31"/>
  <c r="AC2" i="31"/>
  <c r="P2" i="31"/>
  <c r="K2" i="31"/>
  <c r="B2" i="31"/>
  <c r="K1" i="31"/>
  <c r="H1" i="31"/>
  <c r="AB35" i="32" l="1"/>
  <c r="AB35" i="31"/>
  <c r="AV39" i="32" a="1"/>
  <c r="AV39" i="32" s="1"/>
  <c r="AB16" i="32"/>
  <c r="AB14" i="32"/>
  <c r="AV38" i="32" a="1"/>
  <c r="AV38" i="32" s="1"/>
  <c r="AV39" i="31" a="1"/>
  <c r="AV39" i="31" s="1"/>
  <c r="AB16" i="31"/>
  <c r="AB14" i="31"/>
  <c r="AV38" i="31" a="1"/>
  <c r="AV38" i="31" s="1"/>
  <c r="AQ28" i="32"/>
  <c r="AB22" i="32"/>
  <c r="AP29" i="31"/>
  <c r="AB22" i="31"/>
  <c r="AV22" i="32" a="1"/>
  <c r="AV22" i="32" s="1"/>
  <c r="AB33" i="32"/>
  <c r="AV22" i="31" a="1"/>
  <c r="AV22" i="31" s="1"/>
  <c r="AB33" i="31"/>
  <c r="AV13" i="32" a="1"/>
  <c r="AV13" i="32" s="1"/>
  <c r="AB6" i="32"/>
  <c r="AB6" i="31"/>
  <c r="AV13" i="31" a="1"/>
  <c r="AV13" i="31" s="1"/>
  <c r="AW35" i="32"/>
  <c r="AW35" i="31"/>
  <c r="M32" i="32"/>
  <c r="AW32" i="32" s="1"/>
  <c r="M32" i="31"/>
  <c r="AW32" i="31" s="1"/>
  <c r="W14" i="31"/>
  <c r="W14" i="32"/>
  <c r="W16" i="32"/>
  <c r="W18" i="32"/>
  <c r="AK27" i="31"/>
  <c r="P19" i="32"/>
  <c r="AN29" i="32"/>
  <c r="AK27" i="32"/>
  <c r="AP29" i="32"/>
  <c r="AO28" i="32"/>
  <c r="B28" i="32" s="1"/>
  <c r="I27" i="32"/>
  <c r="AQ28" i="31"/>
  <c r="I27" i="31"/>
  <c r="AO28" i="31"/>
  <c r="B28" i="31" s="1"/>
  <c r="W35" i="32"/>
  <c r="W22" i="32"/>
  <c r="J24" i="32"/>
  <c r="AW24" i="32" s="1"/>
  <c r="W33" i="32"/>
  <c r="W6" i="32"/>
  <c r="W20" i="32"/>
  <c r="J32" i="32"/>
  <c r="AR22" i="32"/>
  <c r="P21" i="32"/>
  <c r="P23" i="32"/>
  <c r="W16" i="31"/>
  <c r="J24" i="31"/>
  <c r="AW24" i="31" s="1"/>
  <c r="AR22" i="31"/>
  <c r="W33" i="31"/>
  <c r="W6" i="31"/>
  <c r="W20" i="31"/>
  <c r="W35" i="31"/>
  <c r="W18" i="31"/>
  <c r="W22" i="31"/>
  <c r="J32" i="31"/>
  <c r="AN29" i="31"/>
  <c r="P21" i="31"/>
  <c r="P23" i="31"/>
  <c r="P19" i="31"/>
  <c r="AV35" i="32" l="1" a="1"/>
  <c r="AV35" i="32" s="1"/>
  <c r="AV35" i="31" a="1"/>
  <c r="AV35" i="31" s="1"/>
  <c r="J44" i="31"/>
  <c r="M44" i="31"/>
  <c r="J44" i="32"/>
  <c r="M44" i="32"/>
  <c r="AS22" i="32"/>
  <c r="AS22" i="31"/>
  <c r="AQ22" i="27" l="1"/>
  <c r="AP22" i="27"/>
  <c r="AQ23" i="27"/>
  <c r="AP23" i="27"/>
  <c r="AO23" i="27"/>
  <c r="AN23" i="27"/>
  <c r="AM23" i="27"/>
  <c r="B25" i="27"/>
  <c r="AK25" i="27"/>
  <c r="AO22" i="27"/>
  <c r="AN22" i="27"/>
  <c r="AM22" i="27"/>
  <c r="J37" i="27"/>
  <c r="AV37" i="27" s="1" a="1"/>
  <c r="AV37" i="27" s="1"/>
  <c r="J36" i="27"/>
  <c r="AV36" i="27" s="1" a="1"/>
  <c r="AV36" i="27" s="1"/>
  <c r="K2" i="27"/>
  <c r="P45" i="27"/>
  <c r="P47" i="27"/>
  <c r="P44" i="27"/>
  <c r="P42" i="27"/>
  <c r="P41" i="27"/>
  <c r="P39" i="27"/>
  <c r="P38" i="27"/>
  <c r="P37" i="27"/>
  <c r="P34" i="27"/>
  <c r="P32" i="27"/>
  <c r="P30" i="27"/>
  <c r="P28" i="27"/>
  <c r="P26" i="27"/>
  <c r="P24" i="27"/>
  <c r="P22" i="27"/>
  <c r="P20" i="27" l="1"/>
  <c r="P18" i="27"/>
  <c r="P15" i="27"/>
  <c r="P13" i="27"/>
  <c r="P12" i="27"/>
  <c r="P9" i="27"/>
  <c r="P8" i="27"/>
  <c r="P6" i="27"/>
  <c r="B46" i="27"/>
  <c r="B44" i="27"/>
  <c r="B42" i="27"/>
  <c r="B41" i="27"/>
  <c r="B40" i="27"/>
  <c r="AK40" i="27"/>
  <c r="B39" i="27"/>
  <c r="B38" i="27"/>
  <c r="B37" i="27"/>
  <c r="B36" i="27"/>
  <c r="B35" i="27"/>
  <c r="B34" i="27"/>
  <c r="B33" i="27"/>
  <c r="B32" i="27"/>
  <c r="B31" i="27"/>
  <c r="B30" i="27"/>
  <c r="B29" i="27"/>
  <c r="B27" i="27"/>
  <c r="B26" i="27"/>
  <c r="B23" i="27" l="1"/>
  <c r="B24" i="27"/>
  <c r="B22" i="27"/>
  <c r="B20" i="27"/>
  <c r="B21" i="27" l="1"/>
  <c r="B19" i="27"/>
  <c r="B18" i="27"/>
  <c r="B17" i="27"/>
  <c r="B16" i="27"/>
  <c r="B15" i="27"/>
  <c r="B14" i="27"/>
  <c r="B13" i="27"/>
  <c r="B12" i="27"/>
  <c r="B11" i="27"/>
  <c r="B10" i="27"/>
  <c r="AP42" i="27"/>
  <c r="J42" i="27" s="1"/>
  <c r="AP41" i="27"/>
  <c r="J41" i="27" s="1"/>
  <c r="AP40" i="27"/>
  <c r="J40" i="27" s="1"/>
  <c r="AW40" i="27" s="1"/>
  <c r="AV40" i="27" s="1" a="1"/>
  <c r="AV40" i="27" s="1"/>
  <c r="AK43" i="27"/>
  <c r="AK42" i="27"/>
  <c r="AK41" i="27"/>
  <c r="AP38" i="27"/>
  <c r="J38" i="27" s="1"/>
  <c r="AP39" i="27"/>
  <c r="J39" i="27" s="1"/>
  <c r="AP35" i="27"/>
  <c r="J35" i="27" s="1"/>
  <c r="AK39" i="27"/>
  <c r="AK38" i="27"/>
  <c r="AK37" i="27"/>
  <c r="AK36" i="27"/>
  <c r="AK35" i="27"/>
  <c r="AK34" i="27"/>
  <c r="AK33" i="27"/>
  <c r="AO31" i="27"/>
  <c r="AW35" i="27" l="1"/>
  <c r="W14" i="27"/>
  <c r="AW38" i="27"/>
  <c r="W16" i="27"/>
  <c r="AW39" i="27"/>
  <c r="AP31" i="27"/>
  <c r="J31" i="27" s="1"/>
  <c r="AW31" i="27" s="1"/>
  <c r="AV31" i="27" s="1" a="1"/>
  <c r="AV31" i="27" s="1"/>
  <c r="AP30" i="27"/>
  <c r="J30" i="27" s="1"/>
  <c r="AK31" i="27"/>
  <c r="AK30" i="27"/>
  <c r="AQ29" i="27"/>
  <c r="K29" i="27" s="1"/>
  <c r="AX29" i="27" s="1"/>
  <c r="AO29" i="27"/>
  <c r="J29" i="27" s="1"/>
  <c r="AW29" i="27" s="1"/>
  <c r="AV29" i="27" s="1" a="1"/>
  <c r="AV29" i="27" s="1"/>
  <c r="AP28" i="27"/>
  <c r="J27" i="27" s="1"/>
  <c r="AW27" i="27" s="1"/>
  <c r="AK29" i="27"/>
  <c r="AK28" i="27"/>
  <c r="AS27" i="27"/>
  <c r="AB22" i="27" s="1"/>
  <c r="AB35" i="27" l="1"/>
  <c r="AV39" i="27" a="1"/>
  <c r="AV39" i="27" s="1"/>
  <c r="AB16" i="27"/>
  <c r="AV38" i="27" a="1"/>
  <c r="AV38" i="27" s="1"/>
  <c r="AB14" i="27"/>
  <c r="AV35" i="27" a="1"/>
  <c r="AV35" i="27" s="1"/>
  <c r="W35" i="27"/>
  <c r="I27" i="27"/>
  <c r="AQ28" i="27"/>
  <c r="AK27" i="27"/>
  <c r="AP29" i="27"/>
  <c r="AK26" i="27" l="1"/>
  <c r="AP26" i="27"/>
  <c r="J26" i="27" s="1"/>
  <c r="AW26" i="27" s="1"/>
  <c r="AV26" i="27" s="1" a="1"/>
  <c r="AV26" i="27" s="1"/>
  <c r="AP25" i="27"/>
  <c r="J25" i="27" s="1"/>
  <c r="AW25" i="27" s="1"/>
  <c r="AK24" i="27"/>
  <c r="AR22" i="27"/>
  <c r="AS22" i="27" s="1"/>
  <c r="AQ20" i="27"/>
  <c r="K22" i="27" s="1"/>
  <c r="AX22" i="27" s="1"/>
  <c r="AO20" i="27"/>
  <c r="J22" i="27" s="1"/>
  <c r="AW22" i="27" s="1"/>
  <c r="J24" i="27"/>
  <c r="AW24" i="27" s="1"/>
  <c r="AK23" i="27"/>
  <c r="AK22" i="27"/>
  <c r="AK21" i="27"/>
  <c r="AK20" i="27"/>
  <c r="AP18" i="27"/>
  <c r="J19" i="27" s="1"/>
  <c r="AW19" i="27" s="1"/>
  <c r="AV19" i="27" s="1" a="1"/>
  <c r="AV19" i="27" s="1"/>
  <c r="AK18" i="27"/>
  <c r="AK15" i="27"/>
  <c r="AP15" i="27"/>
  <c r="J16" i="27" s="1"/>
  <c r="AW16" i="27" s="1"/>
  <c r="AV16" i="27" s="1" a="1"/>
  <c r="AV16" i="27" s="1"/>
  <c r="AP14" i="27"/>
  <c r="J15" i="27" s="1"/>
  <c r="AW15" i="27" s="1"/>
  <c r="AV15" i="27" s="1" a="1"/>
  <c r="AV15" i="27" s="1"/>
  <c r="AP13" i="27"/>
  <c r="J14" i="27" s="1"/>
  <c r="AW14" i="27" s="1"/>
  <c r="AV14" i="27" s="1" a="1"/>
  <c r="AV14" i="27" s="1"/>
  <c r="AP12" i="27"/>
  <c r="J13" i="27" s="1"/>
  <c r="AP11" i="27"/>
  <c r="J12" i="27" s="1"/>
  <c r="AW12" i="27" s="1"/>
  <c r="AV12" i="27" s="1" a="1"/>
  <c r="AV12" i="27" s="1"/>
  <c r="AP10" i="27"/>
  <c r="J11" i="27" s="1"/>
  <c r="AW11" i="27" s="1"/>
  <c r="AV11" i="27" s="1" a="1"/>
  <c r="AV11" i="27" s="1"/>
  <c r="Y57" i="26"/>
  <c r="S57" i="26"/>
  <c r="M57" i="26"/>
  <c r="B57" i="26"/>
  <c r="AW13" i="27" l="1"/>
  <c r="AB6" i="27" s="1"/>
  <c r="W18" i="27"/>
  <c r="W22" i="27"/>
  <c r="AV22" i="27" a="1"/>
  <c r="AV22" i="27" s="1"/>
  <c r="AB33" i="27"/>
  <c r="M44" i="27"/>
  <c r="W33" i="27"/>
  <c r="W6" i="27"/>
  <c r="J32" i="27"/>
  <c r="W20" i="27"/>
  <c r="J44" i="27"/>
  <c r="AP9" i="27"/>
  <c r="J10" i="27" s="1"/>
  <c r="AW10" i="27" s="1"/>
  <c r="AV10" i="27" s="1" a="1"/>
  <c r="AV10" i="27" s="1"/>
  <c r="AK14" i="27"/>
  <c r="AK13" i="27"/>
  <c r="AK12" i="27"/>
  <c r="AK11" i="27"/>
  <c r="AT19" i="27"/>
  <c r="AT18" i="27"/>
  <c r="AT17" i="27"/>
  <c r="AT16" i="27"/>
  <c r="AK7" i="27"/>
  <c r="B5" i="27"/>
  <c r="P4" i="27"/>
  <c r="AC4" i="27"/>
  <c r="X4" i="27"/>
  <c r="J4" i="27"/>
  <c r="M4" i="27"/>
  <c r="B4" i="27"/>
  <c r="AC2" i="27"/>
  <c r="P2" i="27"/>
  <c r="B2" i="27"/>
  <c r="H1" i="27"/>
  <c r="K1" i="27"/>
  <c r="M32" i="27" l="1"/>
  <c r="AW32" i="27" s="1"/>
  <c r="AV13" i="27" a="1"/>
  <c r="AV13" i="27" s="1"/>
  <c r="P23" i="27"/>
  <c r="P21" i="27"/>
  <c r="P19" i="27"/>
  <c r="AN29" i="27"/>
  <c r="AO28" i="27"/>
  <c r="B28" i="27" s="1"/>
  <c r="R2" i="26"/>
  <c r="X1" i="26"/>
  <c r="J1" i="26"/>
  <c r="E7" i="7"/>
  <c r="AI25" i="26"/>
  <c r="Z9" i="25"/>
  <c r="Z10" i="25"/>
  <c r="Z11" i="25"/>
  <c r="AI29" i="26"/>
  <c r="Z12" i="25" s="1"/>
  <c r="T15" i="25"/>
  <c r="AI127" i="26"/>
  <c r="F8" i="25" s="1"/>
  <c r="AI128" i="26"/>
  <c r="F9" i="25" s="1"/>
  <c r="AI129" i="26"/>
  <c r="J11" i="25" s="1"/>
  <c r="AI130" i="26"/>
  <c r="J12" i="25" s="1"/>
  <c r="AI131" i="26"/>
  <c r="J13" i="25" s="1"/>
  <c r="AI132" i="26"/>
  <c r="L11" i="25" s="1"/>
  <c r="AI133" i="26"/>
  <c r="L12" i="25" s="1"/>
  <c r="AI134" i="26"/>
  <c r="L13" i="25" s="1"/>
  <c r="AI136" i="26"/>
  <c r="P12" i="25" s="1"/>
  <c r="AK41" i="26"/>
  <c r="AL41" i="26"/>
  <c r="AK42" i="26"/>
  <c r="AL43" i="26"/>
  <c r="AK44" i="26"/>
  <c r="AL44" i="26"/>
  <c r="AL45" i="26"/>
  <c r="AK46" i="26"/>
  <c r="AL46" i="26"/>
  <c r="AK47" i="26"/>
  <c r="AL47" i="26"/>
  <c r="AK48" i="26"/>
  <c r="AL48" i="26"/>
  <c r="AK49" i="26"/>
  <c r="AL49" i="26"/>
  <c r="AK50" i="26"/>
  <c r="AL50" i="26"/>
  <c r="AK51" i="26"/>
  <c r="AL51" i="26"/>
  <c r="AK80" i="26"/>
  <c r="AL80" i="26"/>
  <c r="AK81" i="26"/>
  <c r="AL81" i="26"/>
  <c r="AK82" i="26"/>
  <c r="AL82" i="26"/>
  <c r="AK83" i="26"/>
  <c r="AL83" i="26"/>
  <c r="AK84" i="26"/>
  <c r="AL84" i="26"/>
  <c r="AK85" i="26"/>
  <c r="AL85" i="26"/>
  <c r="AL91" i="26"/>
  <c r="AK92" i="26"/>
  <c r="AL92" i="26"/>
  <c r="AK93" i="26"/>
  <c r="AL93" i="26"/>
  <c r="AK94" i="26"/>
  <c r="AL94" i="26"/>
  <c r="AK95" i="26"/>
  <c r="AL95" i="26"/>
  <c r="AK96" i="26"/>
  <c r="AL96" i="26"/>
  <c r="AL97" i="26"/>
  <c r="AK98" i="26"/>
  <c r="AL98" i="26"/>
  <c r="AK99" i="26"/>
  <c r="AL99" i="26"/>
  <c r="AK118" i="26"/>
  <c r="AL118" i="26"/>
  <c r="AL120" i="26"/>
  <c r="AK122" i="26"/>
  <c r="AL122" i="26"/>
  <c r="AK123" i="26"/>
  <c r="AL123" i="26"/>
  <c r="AK142" i="26"/>
  <c r="AL142" i="26"/>
  <c r="AK143" i="26"/>
  <c r="AL143" i="26"/>
  <c r="AK148" i="26"/>
  <c r="AL148" i="26"/>
  <c r="AK149" i="26"/>
  <c r="AL149" i="26"/>
  <c r="AK155" i="26"/>
  <c r="AL155" i="26"/>
  <c r="AK156" i="26"/>
  <c r="AL156" i="26"/>
  <c r="AK157" i="26"/>
  <c r="AL157" i="26"/>
  <c r="AK158" i="26"/>
  <c r="AL158" i="26"/>
  <c r="AK159" i="26"/>
  <c r="AL159" i="26"/>
  <c r="AK160" i="26"/>
  <c r="AL160" i="26"/>
  <c r="B130" i="26" l="1"/>
  <c r="B99" i="26"/>
  <c r="B98" i="26"/>
  <c r="B125" i="26"/>
  <c r="B91" i="26"/>
  <c r="B77" i="26"/>
  <c r="B75" i="26"/>
  <c r="B55" i="26"/>
  <c r="B89" i="26"/>
  <c r="B88" i="26"/>
  <c r="B59" i="26"/>
  <c r="B74" i="26"/>
  <c r="B71" i="26"/>
  <c r="B69" i="26"/>
  <c r="B68" i="26"/>
  <c r="B67" i="26"/>
  <c r="B66" i="26"/>
  <c r="B65" i="26"/>
  <c r="B64" i="26"/>
  <c r="B63" i="26"/>
  <c r="J48" i="26"/>
  <c r="B44" i="26" l="1"/>
  <c r="J44" i="26"/>
  <c r="L42" i="26"/>
  <c r="B41" i="26"/>
  <c r="Z41" i="26"/>
  <c r="X41" i="26"/>
  <c r="T41" i="26"/>
  <c r="R41" i="26"/>
  <c r="N41" i="26"/>
  <c r="L41" i="26"/>
  <c r="Z51" i="26"/>
  <c r="X51" i="26"/>
  <c r="T51" i="26"/>
  <c r="R51" i="26"/>
  <c r="N51" i="26"/>
  <c r="L51" i="26"/>
  <c r="Z50" i="26"/>
  <c r="X50" i="26"/>
  <c r="T50" i="26"/>
  <c r="R50" i="26"/>
  <c r="N50" i="26"/>
  <c r="L50" i="26"/>
  <c r="Z49" i="26"/>
  <c r="X49" i="26"/>
  <c r="T49" i="26"/>
  <c r="R49" i="26"/>
  <c r="N49" i="26"/>
  <c r="L49" i="26"/>
  <c r="B56" i="26" l="1"/>
  <c r="B51" i="26"/>
  <c r="W47" i="7"/>
  <c r="W48" i="7"/>
  <c r="W49" i="7"/>
  <c r="W50" i="7"/>
  <c r="W51" i="7"/>
  <c r="W52" i="7"/>
  <c r="W53" i="7"/>
  <c r="W54" i="7"/>
  <c r="W55" i="7"/>
  <c r="W56" i="7"/>
  <c r="W57" i="7"/>
  <c r="B15" i="26"/>
  <c r="B13" i="26"/>
  <c r="P13" i="26"/>
  <c r="P12" i="26"/>
  <c r="P11" i="26"/>
  <c r="B45" i="26" l="1"/>
  <c r="B46" i="26"/>
  <c r="B47" i="26"/>
  <c r="P168" i="26"/>
  <c r="B166" i="26"/>
  <c r="P160" i="26" l="1"/>
  <c r="AA159" i="26"/>
  <c r="Y159" i="26"/>
  <c r="P159" i="26"/>
  <c r="B159" i="26"/>
  <c r="AA158" i="26"/>
  <c r="Y158" i="26"/>
  <c r="P158" i="26"/>
  <c r="M158" i="26"/>
  <c r="K158" i="26"/>
  <c r="B158" i="26"/>
  <c r="P157" i="26"/>
  <c r="AA156" i="26"/>
  <c r="Y156" i="26"/>
  <c r="P156" i="26"/>
  <c r="M156" i="26"/>
  <c r="K156" i="26"/>
  <c r="B156" i="26"/>
  <c r="AA155" i="26"/>
  <c r="Y155" i="26"/>
  <c r="P155" i="26"/>
  <c r="B155" i="26"/>
  <c r="B154" i="26"/>
  <c r="Q152" i="26"/>
  <c r="AA151" i="26"/>
  <c r="Y151" i="26"/>
  <c r="P151" i="26"/>
  <c r="B151" i="26"/>
  <c r="M150" i="26"/>
  <c r="K150" i="26"/>
  <c r="B150" i="26"/>
  <c r="B149" i="26"/>
  <c r="F148" i="26"/>
  <c r="B148" i="26"/>
  <c r="P147" i="26"/>
  <c r="M147" i="26"/>
  <c r="K147" i="26"/>
  <c r="B147" i="26"/>
  <c r="P146" i="26"/>
  <c r="B146" i="26"/>
  <c r="M144" i="26"/>
  <c r="K144" i="26"/>
  <c r="B144" i="26"/>
  <c r="AA143" i="26"/>
  <c r="Y143" i="26"/>
  <c r="P143" i="26"/>
  <c r="B143" i="26"/>
  <c r="AA141" i="26"/>
  <c r="Y141" i="26"/>
  <c r="P141" i="26"/>
  <c r="M141" i="26"/>
  <c r="B141" i="26"/>
  <c r="B140" i="26"/>
  <c r="B136" i="26"/>
  <c r="I133" i="26"/>
  <c r="I134" i="26"/>
  <c r="I135" i="26"/>
  <c r="B134" i="26"/>
  <c r="B135" i="26"/>
  <c r="B129" i="26"/>
  <c r="B133" i="26"/>
  <c r="B132" i="26"/>
  <c r="B131" i="26"/>
  <c r="Z125" i="26"/>
  <c r="T125" i="26"/>
  <c r="N125" i="26"/>
  <c r="B128" i="26"/>
  <c r="B127" i="26"/>
  <c r="B126" i="26"/>
  <c r="B121" i="26"/>
  <c r="K121" i="26"/>
  <c r="M121" i="26"/>
  <c r="B122" i="26"/>
  <c r="K122" i="26"/>
  <c r="M122" i="26"/>
  <c r="B123" i="26"/>
  <c r="P119" i="26"/>
  <c r="V119" i="26"/>
  <c r="Z119" i="26"/>
  <c r="AB119" i="26"/>
  <c r="P120" i="26"/>
  <c r="P121" i="26"/>
  <c r="P122" i="26"/>
  <c r="P123" i="26"/>
  <c r="B119" i="26"/>
  <c r="B120" i="26"/>
  <c r="J68" i="26"/>
  <c r="J69" i="26"/>
  <c r="J70" i="26"/>
  <c r="Z91" i="26" l="1"/>
  <c r="T91" i="26"/>
  <c r="N91" i="26"/>
  <c r="Z77" i="26"/>
  <c r="T77" i="26"/>
  <c r="N77" i="26"/>
  <c r="B15" i="25" l="1"/>
  <c r="D15" i="25" l="1"/>
  <c r="V13" i="25"/>
  <c r="AN20" i="26" s="1"/>
  <c r="V12" i="25"/>
  <c r="V11" i="25"/>
  <c r="R19" i="25"/>
  <c r="R18" i="25"/>
  <c r="Z98" i="26"/>
  <c r="X98" i="26"/>
  <c r="T98" i="26"/>
  <c r="R98" i="26"/>
  <c r="N98" i="26"/>
  <c r="L98" i="26"/>
  <c r="Z94" i="26"/>
  <c r="X94" i="26"/>
  <c r="T94" i="26"/>
  <c r="R94" i="26"/>
  <c r="N94" i="26"/>
  <c r="L94" i="26"/>
  <c r="B100" i="26"/>
  <c r="B97" i="26"/>
  <c r="B96" i="26"/>
  <c r="B95" i="26"/>
  <c r="B94" i="26"/>
  <c r="AN19" i="26" l="1"/>
  <c r="AP33" i="31" s="1"/>
  <c r="J33" i="31" s="1"/>
  <c r="AP33" i="32"/>
  <c r="J33" i="32" s="1"/>
  <c r="AM19" i="26"/>
  <c r="AP34" i="31" s="1"/>
  <c r="J34" i="31" s="1"/>
  <c r="AW34" i="31" s="1"/>
  <c r="AV34" i="31" s="1" a="1"/>
  <c r="AV34" i="31" s="1"/>
  <c r="AN18" i="26"/>
  <c r="AP33" i="27" s="1"/>
  <c r="J33" i="27" s="1"/>
  <c r="AM18" i="26"/>
  <c r="AP34" i="27" s="1"/>
  <c r="J34" i="27" s="1"/>
  <c r="Z92" i="26"/>
  <c r="X92" i="26"/>
  <c r="T92" i="26"/>
  <c r="R92" i="26"/>
  <c r="N92" i="26"/>
  <c r="L92" i="26"/>
  <c r="B92" i="26"/>
  <c r="J17" i="27" l="1"/>
  <c r="J20" i="27" s="1"/>
  <c r="AW34" i="27"/>
  <c r="J17" i="31"/>
  <c r="J20" i="31" s="1"/>
  <c r="B43" i="26"/>
  <c r="B48" i="26"/>
  <c r="B19" i="26"/>
  <c r="W12" i="27" l="1"/>
  <c r="W8" i="27"/>
  <c r="W37" i="27" s="1"/>
  <c r="J18" i="31"/>
  <c r="W29" i="31" s="1"/>
  <c r="W10" i="31"/>
  <c r="J18" i="27"/>
  <c r="W29" i="27" s="1"/>
  <c r="W10" i="27"/>
  <c r="W25" i="27"/>
  <c r="W8" i="31"/>
  <c r="W37" i="31" s="1"/>
  <c r="W25" i="31"/>
  <c r="W12" i="31"/>
  <c r="M17" i="31"/>
  <c r="M17" i="27"/>
  <c r="AV34" i="27" a="1"/>
  <c r="AV34" i="27" s="1"/>
  <c r="Z84" i="26"/>
  <c r="X84" i="26"/>
  <c r="T84" i="26"/>
  <c r="R84" i="26"/>
  <c r="N84" i="26"/>
  <c r="L84" i="26"/>
  <c r="AB10" i="31" l="1"/>
  <c r="AB8" i="31"/>
  <c r="AB37" i="31" s="1"/>
  <c r="AB12" i="31"/>
  <c r="AB25" i="31"/>
  <c r="AB12" i="27"/>
  <c r="AB10" i="27"/>
  <c r="AB8" i="27"/>
  <c r="AB37" i="27" s="1"/>
  <c r="AB25" i="27"/>
  <c r="M20" i="31"/>
  <c r="M18" i="31"/>
  <c r="AB29" i="31" s="1"/>
  <c r="M20" i="27"/>
  <c r="M18" i="27"/>
  <c r="AB29" i="27" s="1"/>
  <c r="B84" i="26"/>
  <c r="B83" i="26"/>
  <c r="B86" i="26"/>
  <c r="B85" i="26"/>
  <c r="Z83" i="26" l="1"/>
  <c r="X83" i="26"/>
  <c r="T83" i="26"/>
  <c r="R83" i="26"/>
  <c r="B9" i="26" l="1"/>
  <c r="P82" i="26" l="1"/>
  <c r="N82" i="26"/>
  <c r="V82" i="26"/>
  <c r="T82" i="26"/>
  <c r="AB82" i="26"/>
  <c r="Z82" i="26"/>
  <c r="B82" i="26"/>
  <c r="B80" i="26"/>
  <c r="B81" i="26"/>
  <c r="D16" i="25"/>
  <c r="F16" i="25"/>
  <c r="D21" i="25"/>
  <c r="D20" i="25"/>
  <c r="D19" i="25"/>
  <c r="D18" i="25"/>
  <c r="J75" i="26"/>
  <c r="J74" i="26"/>
  <c r="J65" i="26"/>
  <c r="J66" i="26"/>
  <c r="J67" i="26"/>
  <c r="J71" i="26"/>
  <c r="J64" i="26"/>
  <c r="Z48" i="26"/>
  <c r="AP24" i="32" s="1"/>
  <c r="T48" i="26"/>
  <c r="AP24" i="31" s="1"/>
  <c r="N48" i="26"/>
  <c r="AP24" i="27" s="1"/>
  <c r="J47" i="26"/>
  <c r="J46" i="26"/>
  <c r="J45" i="26"/>
  <c r="J43" i="26"/>
  <c r="Z63" i="26"/>
  <c r="T63" i="26"/>
  <c r="N63" i="26"/>
  <c r="B50" i="26"/>
  <c r="B49" i="26"/>
  <c r="J23" i="32" l="1"/>
  <c r="AW23" i="32" s="1"/>
  <c r="AS24" i="32"/>
  <c r="J23" i="31"/>
  <c r="AW23" i="31" s="1"/>
  <c r="AS24" i="31"/>
  <c r="J23" i="27"/>
  <c r="AW23" i="27" s="1"/>
  <c r="AS24" i="27"/>
  <c r="L54" i="26"/>
  <c r="N83" i="26"/>
  <c r="L83" i="26"/>
  <c r="AB31" i="32" l="1"/>
  <c r="AV23" i="32" a="1"/>
  <c r="AV23" i="32" s="1"/>
  <c r="AB27" i="32"/>
  <c r="AV23" i="31" a="1"/>
  <c r="AV23" i="31" s="1"/>
  <c r="AB31" i="31"/>
  <c r="AB27" i="31"/>
  <c r="AV23" i="27" a="1"/>
  <c r="AV23" i="27" s="1"/>
  <c r="AB31" i="27"/>
  <c r="AB27" i="27"/>
  <c r="W31" i="32"/>
  <c r="W27" i="32"/>
  <c r="W27" i="31"/>
  <c r="W31" i="31"/>
  <c r="W31" i="27"/>
  <c r="W27" i="27"/>
  <c r="H16" i="25"/>
  <c r="Y29" i="26"/>
  <c r="S29" i="26"/>
  <c r="Z29" i="26" l="1"/>
  <c r="T29" i="26"/>
  <c r="B12" i="26"/>
  <c r="B10" i="26"/>
  <c r="P10" i="26"/>
  <c r="Z15" i="26"/>
  <c r="T15" i="26"/>
  <c r="B72" i="26"/>
  <c r="N15" i="26"/>
  <c r="B17" i="26"/>
  <c r="B16" i="26"/>
  <c r="H52" i="26"/>
  <c r="AM20" i="26"/>
  <c r="N26" i="26"/>
  <c r="M26" i="26" s="1"/>
  <c r="T26" i="26"/>
  <c r="X16" i="26"/>
  <c r="R16" i="26"/>
  <c r="L16" i="26"/>
  <c r="Z20" i="26"/>
  <c r="T20" i="26"/>
  <c r="N20" i="26"/>
  <c r="Z26" i="26" l="1"/>
  <c r="Y26" i="26" s="1"/>
  <c r="AP34" i="32"/>
  <c r="J34" i="32" s="1"/>
  <c r="AW34" i="32" s="1"/>
  <c r="AV34" i="32" s="1" a="1"/>
  <c r="AV34" i="32" s="1"/>
  <c r="T31" i="26"/>
  <c r="S26" i="26"/>
  <c r="N31" i="26"/>
  <c r="T27" i="26"/>
  <c r="S27" i="26" s="1"/>
  <c r="T30" i="26"/>
  <c r="S30" i="26" s="1"/>
  <c r="B53" i="26"/>
  <c r="B52" i="26"/>
  <c r="B40" i="26"/>
  <c r="H39" i="26"/>
  <c r="B16" i="25"/>
  <c r="B39" i="26"/>
  <c r="B38" i="26"/>
  <c r="B37" i="26"/>
  <c r="B36" i="26"/>
  <c r="B35" i="26"/>
  <c r="B33" i="26"/>
  <c r="B18" i="26"/>
  <c r="M29" i="26"/>
  <c r="N29" i="26"/>
  <c r="B32" i="26"/>
  <c r="B31" i="26"/>
  <c r="B30" i="26"/>
  <c r="B29" i="26"/>
  <c r="B28" i="26"/>
  <c r="B27" i="26"/>
  <c r="B26" i="26"/>
  <c r="B25" i="26"/>
  <c r="B24" i="26"/>
  <c r="B23" i="26"/>
  <c r="B22" i="26"/>
  <c r="B21" i="26"/>
  <c r="B20" i="26"/>
  <c r="J17" i="32" l="1"/>
  <c r="W12" i="32" s="1"/>
  <c r="Z30" i="26"/>
  <c r="Y30" i="26" s="1"/>
  <c r="Z27" i="26"/>
  <c r="Y27" i="26" s="1"/>
  <c r="Z31" i="26"/>
  <c r="V39" i="26"/>
  <c r="AK110" i="26" s="1"/>
  <c r="P39" i="26"/>
  <c r="AB39" i="26"/>
  <c r="V40" i="26"/>
  <c r="AB40" i="26"/>
  <c r="P40" i="26"/>
  <c r="N30" i="26"/>
  <c r="Q53" i="26" s="1"/>
  <c r="N27" i="26"/>
  <c r="AJ169" i="26"/>
  <c r="AJ168" i="26"/>
  <c r="AJ167" i="26"/>
  <c r="AJ166" i="26"/>
  <c r="W170" i="26"/>
  <c r="P170" i="26"/>
  <c r="W168" i="26"/>
  <c r="C167" i="26"/>
  <c r="W164" i="26"/>
  <c r="P164" i="26"/>
  <c r="I164" i="26"/>
  <c r="B164" i="26"/>
  <c r="AJ13" i="26"/>
  <c r="AJ12" i="26"/>
  <c r="S2" i="26"/>
  <c r="AJ11" i="26"/>
  <c r="Z1" i="26"/>
  <c r="W25" i="32" l="1"/>
  <c r="W10" i="32"/>
  <c r="J18" i="32"/>
  <c r="W29" i="32" s="1"/>
  <c r="W8" i="32"/>
  <c r="W37" i="32" s="1"/>
  <c r="J20" i="32"/>
  <c r="M17" i="32"/>
  <c r="N110" i="26"/>
  <c r="Z110" i="26"/>
  <c r="T110" i="26"/>
  <c r="M53" i="26"/>
  <c r="M30" i="26"/>
  <c r="M27" i="26"/>
  <c r="W86" i="7"/>
  <c r="W85" i="7"/>
  <c r="W84" i="7"/>
  <c r="W83" i="7"/>
  <c r="W82" i="7"/>
  <c r="W81" i="7"/>
  <c r="W80" i="7"/>
  <c r="W79" i="7"/>
  <c r="W78" i="7"/>
  <c r="W77" i="7"/>
  <c r="W76" i="7"/>
  <c r="W75" i="7"/>
  <c r="W74" i="7"/>
  <c r="W73" i="7"/>
  <c r="W72" i="7"/>
  <c r="W71" i="7"/>
  <c r="W70" i="7"/>
  <c r="W69" i="7"/>
  <c r="W68" i="7"/>
  <c r="W67" i="7"/>
  <c r="W66" i="7"/>
  <c r="W65" i="7"/>
  <c r="W64" i="7"/>
  <c r="W63" i="7"/>
  <c r="W62" i="7"/>
  <c r="W61" i="7"/>
  <c r="W60" i="7"/>
  <c r="W59" i="7"/>
  <c r="W58" i="7"/>
  <c r="W46" i="7"/>
  <c r="W45" i="7"/>
  <c r="W44" i="7"/>
  <c r="W43" i="7"/>
  <c r="W42" i="7"/>
  <c r="W41" i="7"/>
  <c r="W40" i="7"/>
  <c r="W39" i="7"/>
  <c r="AB25" i="32" l="1"/>
  <c r="AB10" i="32"/>
  <c r="AB8" i="32"/>
  <c r="AB37" i="32" s="1"/>
  <c r="AB12" i="32"/>
  <c r="M20" i="32"/>
  <c r="M18" i="32"/>
  <c r="AB29" i="32" s="1"/>
  <c r="V17" i="25"/>
  <c r="T18" i="25" l="1"/>
  <c r="V16" i="25"/>
  <c r="V66" i="25" l="1"/>
  <c r="L18" i="25" l="1"/>
  <c r="L19" i="25"/>
  <c r="L20" i="25"/>
  <c r="L21" i="25"/>
  <c r="L22" i="25"/>
  <c r="L23" i="25"/>
  <c r="Z27" i="25" l="1"/>
  <c r="Z16" i="25" l="1"/>
  <c r="Y2" i="25"/>
  <c r="U3" i="25"/>
  <c r="T16" i="25" l="1"/>
  <c r="T20" i="25"/>
  <c r="T19" i="25"/>
  <c r="P28" i="25"/>
  <c r="P27" i="25"/>
  <c r="P26" i="25"/>
  <c r="P25" i="25"/>
  <c r="P24" i="25"/>
  <c r="P23" i="25"/>
  <c r="P22" i="25"/>
  <c r="P20" i="25"/>
  <c r="P19" i="25"/>
  <c r="P21" i="25"/>
  <c r="P18" i="25"/>
  <c r="N23" i="25"/>
  <c r="N22" i="25"/>
  <c r="N21" i="25"/>
  <c r="N20" i="25"/>
  <c r="N19" i="25"/>
  <c r="N18" i="25"/>
  <c r="R16" i="25"/>
  <c r="P16" i="25"/>
  <c r="N16" i="25"/>
  <c r="J24" i="25" l="1"/>
  <c r="J23" i="25"/>
  <c r="J22" i="25"/>
  <c r="J21" i="25"/>
  <c r="J20" i="25"/>
  <c r="J19" i="25"/>
  <c r="J18" i="25"/>
  <c r="F24" i="25"/>
  <c r="F23" i="25"/>
  <c r="F22" i="25"/>
  <c r="F21" i="25"/>
  <c r="F20" i="25"/>
  <c r="F19" i="25"/>
  <c r="A2" i="25"/>
  <c r="F18" i="25"/>
  <c r="N19" i="7" l="1"/>
  <c r="N16" i="7"/>
  <c r="E19" i="7"/>
  <c r="L16" i="25"/>
  <c r="J16" i="25"/>
  <c r="E13" i="7"/>
  <c r="B4" i="7" l="1"/>
  <c r="I1" i="7" l="1"/>
  <c r="B2" i="7" l="1"/>
  <c r="S4" i="25" l="1"/>
  <c r="AB1" i="7" l="1"/>
  <c r="H15" i="25" l="1"/>
  <c r="AM17" i="26" l="1"/>
  <c r="AP45" i="32" l="1"/>
  <c r="J45" i="32" s="1"/>
  <c r="AP45" i="31"/>
  <c r="J45" i="31" s="1"/>
  <c r="AP45" i="27"/>
  <c r="J45" i="27" s="1"/>
  <c r="AW45" i="27" l="1"/>
  <c r="W50" i="27"/>
  <c r="W48" i="27" s="1"/>
  <c r="W40" i="27"/>
  <c r="AW45" i="31"/>
  <c r="W50" i="31"/>
  <c r="W48" i="31" s="1"/>
  <c r="AW45" i="32"/>
  <c r="W50" i="32"/>
  <c r="W48" i="32" s="1"/>
  <c r="AB50" i="32" l="1"/>
  <c r="AB48" i="32" s="1"/>
  <c r="AB40" i="32"/>
  <c r="AB50" i="31"/>
  <c r="AB48" i="31" s="1"/>
  <c r="AB40" i="31"/>
  <c r="W40" i="31"/>
  <c r="W46" i="27"/>
  <c r="W43" i="27"/>
  <c r="AB50" i="27"/>
  <c r="AB48" i="27" s="1"/>
  <c r="AB40" i="27"/>
  <c r="AB46" i="27" l="1"/>
  <c r="AB43" i="27"/>
  <c r="W43" i="31"/>
  <c r="W46" i="31"/>
  <c r="W40" i="32"/>
  <c r="AB43" i="31"/>
  <c r="AB46" i="31"/>
  <c r="AB46" i="32"/>
  <c r="AB43" i="32"/>
  <c r="W46" i="32" l="1"/>
  <c r="W43" i="3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Salzmann, Michael</author>
  </authors>
  <commentList>
    <comment ref="U121" authorId="0" shapeId="0" xr:uid="{280A6447-B7DF-468E-BF1D-34F8F6BA1B33}">
      <text>
        <r>
          <rPr>
            <sz val="10"/>
            <color indexed="81"/>
            <rFont val="Segoe UI"/>
            <family val="2"/>
          </rPr>
          <t>»Kavität« steht für den konturtragenden Bereich des Werkzeuges, also entweder für die Formeinätze oder die Formplatte bei Konzepten ohne separate Formeinsätze.
»Cavity« stands for the contour-forming area of the mould, i.e. either the mould inserts or the mould plate in concepts without separate mould inserts.</t>
        </r>
      </text>
    </comment>
    <comment ref="U122" authorId="0" shapeId="0" xr:uid="{B61CF361-8E9E-4B51-89D8-D6C3913FF812}">
      <text>
        <r>
          <rPr>
            <sz val="10"/>
            <color indexed="81"/>
            <rFont val="Segoe UI"/>
            <family val="2"/>
          </rPr>
          <t>»Kavität« steht für den konturtragenden Bereich des Werkzeuges, also entweder für die Formeinätze oder die Formplatte bei Konzepten ohne separate Formeinsätze.
»Cavity« stands for the contour-forming area of the mould, i.e. either the mould inserts or the mould plate in concepts without separate mould inserts.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<sst xmlns="http://schemas.openxmlformats.org/spreadsheetml/2006/main" count="3879" uniqueCount="2905">
  <si>
    <t>Gating point displace to a bigger wall thickness area</t>
  </si>
  <si>
    <t>Mold - parting line / split line check</t>
  </si>
  <si>
    <t>Brückenbildung in Materialzuführung beseitigen (PP LGF)</t>
  </si>
  <si>
    <t>Remeding bridging into the feeding system (eg. PP LGF)</t>
  </si>
  <si>
    <t>max. Plastifizierstrom der Maschine (Basis von  PS)</t>
  </si>
  <si>
    <t xml:space="preserve"> cm³</t>
  </si>
  <si>
    <t>Differenz zwischen Nachdruck- und Siegelzeit</t>
  </si>
  <si>
    <t xml:space="preserve"> s</t>
  </si>
  <si>
    <t>Differenz der angegebenen Zeiten zum Gesamtzyklus</t>
  </si>
  <si>
    <t>Verhältnis Einspritzzeit zur angegebenen Toleranz</t>
  </si>
  <si>
    <t>Verhältnis Massepolster zur angegebenen Toleranz</t>
  </si>
  <si>
    <t>Sprue</t>
  </si>
  <si>
    <t>Angußstange</t>
  </si>
  <si>
    <t>Auswahl</t>
  </si>
  <si>
    <t>Stack mold</t>
  </si>
  <si>
    <t>Standard mold</t>
  </si>
  <si>
    <t>Gas-Injektionstechnik</t>
  </si>
  <si>
    <t>Wasser-Injektionstechnik</t>
  </si>
  <si>
    <t>Gas assisted injection</t>
  </si>
  <si>
    <t>Water assisted injection</t>
  </si>
  <si>
    <t>Wird Langglasfasermaterial eingesetzt?</t>
  </si>
  <si>
    <t>Maximal mögliches Dosiervolumen</t>
  </si>
  <si>
    <t>Potential metered volume (max.)</t>
  </si>
  <si>
    <t>Anbindung</t>
  </si>
  <si>
    <t>Winkel</t>
  </si>
  <si>
    <t>°</t>
  </si>
  <si>
    <t>Länge</t>
  </si>
  <si>
    <t>Ø</t>
  </si>
  <si>
    <t xml:space="preserve">Verteilerquerschnitt </t>
  </si>
  <si>
    <t>Length</t>
  </si>
  <si>
    <t>Angle</t>
  </si>
  <si>
    <t>Number of cooling / heating circuits (mold)</t>
  </si>
  <si>
    <t>Carried out improvement - hold.pressure time?</t>
  </si>
  <si>
    <t>Navigation</t>
  </si>
  <si>
    <t>rpm</t>
  </si>
  <si>
    <t>Use shear and mixing section</t>
  </si>
  <si>
    <t>Kleinere Pigmente oder Farbträger verwenden</t>
  </si>
  <si>
    <t>Use smaller pigment or chromophore</t>
  </si>
  <si>
    <t>Masse über den Zylinder entgasen</t>
  </si>
  <si>
    <t>Degas the melt via the barrel</t>
  </si>
  <si>
    <t>Lagerhaltung prüfen</t>
  </si>
  <si>
    <t>Observe the storage</t>
  </si>
  <si>
    <t>Heißkanaltemperatur erhöhen</t>
  </si>
  <si>
    <t xml:space="preserve">Hotrunner temperature  ▲  Increase </t>
  </si>
  <si>
    <t>Heißkanaltemperatur senken</t>
  </si>
  <si>
    <t>Hotrunner temperature  ▼  Decrease</t>
  </si>
  <si>
    <t>Plastifizierung prüfen (Verschleiß / tote Ecken)</t>
  </si>
  <si>
    <t>Check plasticising unit for wear and dead spots</t>
  </si>
  <si>
    <t>Verweilzeit prüfen / Temperaturabsenkung bei Stillstand</t>
  </si>
  <si>
    <t>Check dwell time / Temperature decrease during interuption</t>
  </si>
  <si>
    <t>Werkzeugauslegung (Kavitätenzahl)</t>
  </si>
  <si>
    <t>Hersteller / System</t>
  </si>
  <si>
    <t>Angussart</t>
  </si>
  <si>
    <t>Wurde eine Moldflow Analyse durchgeführt?</t>
  </si>
  <si>
    <t>Mold design (number of cavities)</t>
  </si>
  <si>
    <t>Gate type</t>
  </si>
  <si>
    <t>CAE Moldflow analysis has been caried out?</t>
  </si>
  <si>
    <t>Mold design based of the results?</t>
  </si>
  <si>
    <t>Werkzeuggewicht</t>
  </si>
  <si>
    <t xml:space="preserve">Werkzeugabmaße </t>
  </si>
  <si>
    <t xml:space="preserve">Mold size </t>
  </si>
  <si>
    <t>Mold weight</t>
  </si>
  <si>
    <t>x</t>
  </si>
  <si>
    <t>Ergebnisse im Werkzeug berücksichtigt?</t>
  </si>
  <si>
    <t>Inserts debured / local pressed?</t>
  </si>
  <si>
    <t>Inserts occured in pre-run?</t>
  </si>
  <si>
    <t>Einleger prozeßsicher vorgewärmt?</t>
  </si>
  <si>
    <t xml:space="preserve">Auf welche Weise </t>
  </si>
  <si>
    <t>Wird dieser Wert überprüft?</t>
  </si>
  <si>
    <t>Wie erfolgt die Prüfung?</t>
  </si>
  <si>
    <t>Are the parts conditioned?</t>
  </si>
  <si>
    <t>Kanaldurchmesser im Verteiler</t>
  </si>
  <si>
    <t>Melt canal diameter into the manifolder</t>
  </si>
  <si>
    <t>Shot volume (calculated)</t>
  </si>
  <si>
    <t>1+1</t>
  </si>
  <si>
    <t>2+2</t>
  </si>
  <si>
    <t>4+4</t>
  </si>
  <si>
    <t xml:space="preserve">      Festlegung der Sprache</t>
  </si>
  <si>
    <t>Einspritzgeschwindigkeit</t>
  </si>
  <si>
    <t>mit Verarbeitungsempfehlung des Herstellers zu vergleichen</t>
  </si>
  <si>
    <t>Info: Der CT-Bericht ist zum EMPB vorzustellen!</t>
  </si>
  <si>
    <t>Sonderauslegung</t>
  </si>
  <si>
    <t>8+8</t>
  </si>
  <si>
    <t>Sprachauswahl</t>
  </si>
  <si>
    <t>Deutsch</t>
  </si>
  <si>
    <t>English</t>
  </si>
  <si>
    <t>Select Language</t>
  </si>
  <si>
    <t>Schneckendurchmesser</t>
  </si>
  <si>
    <t>Zykluszeit</t>
  </si>
  <si>
    <t>Temperaturfühler im Werkzeug?</t>
  </si>
  <si>
    <t>Werden diese zur Regelung genutzt?</t>
  </si>
  <si>
    <t>Anzahl der Temperierkreise im Werkzeug</t>
  </si>
  <si>
    <t>Anzahl der Temperiergeräte</t>
  </si>
  <si>
    <t>Druckfühler im Werkzeug?</t>
  </si>
  <si>
    <t>Spezifischer Nachdruck (Profil)</t>
  </si>
  <si>
    <t>Nachdruckzeitoptimierung durchgeführt?</t>
  </si>
  <si>
    <t>Siegelzeit</t>
  </si>
  <si>
    <t>Dosiergeschwindigkeit</t>
  </si>
  <si>
    <t>Screw diameter</t>
  </si>
  <si>
    <t>Number of heat exchange systems</t>
  </si>
  <si>
    <t>Pressure sensor in mold?</t>
  </si>
  <si>
    <t>Düsenseite</t>
  </si>
  <si>
    <t>Auswerferseite</t>
  </si>
  <si>
    <t>°C</t>
  </si>
  <si>
    <t>ja</t>
  </si>
  <si>
    <t>nein</t>
  </si>
  <si>
    <t>yes</t>
  </si>
  <si>
    <t>no</t>
  </si>
  <si>
    <t>►</t>
  </si>
  <si>
    <t>Weg</t>
  </si>
  <si>
    <t>way</t>
  </si>
  <si>
    <t>pressure</t>
  </si>
  <si>
    <t xml:space="preserve">Umschaltung abhängig von </t>
  </si>
  <si>
    <t>Druck</t>
  </si>
  <si>
    <t>Eingestellter spezifischer Spritzdruck</t>
  </si>
  <si>
    <t>Abgelesener spezifischer Spritzdruck</t>
  </si>
  <si>
    <t>Rohstofftyp</t>
  </si>
  <si>
    <t>Herstellerbezeichnung</t>
  </si>
  <si>
    <t>Findet eine Materialeingangsprüfung statt?</t>
  </si>
  <si>
    <t>Materialvortrocknung?</t>
  </si>
  <si>
    <t>Typ des Trockenofens</t>
  </si>
  <si>
    <t>Trockentemperatur</t>
  </si>
  <si>
    <t>Trockenzeit</t>
  </si>
  <si>
    <t>Materialzuführung</t>
  </si>
  <si>
    <t>Materialbasis Batch</t>
  </si>
  <si>
    <t xml:space="preserve">Material type </t>
  </si>
  <si>
    <t>Type of drying oven</t>
  </si>
  <si>
    <t>Nachdruckzeit</t>
  </si>
  <si>
    <t>Name (Bearbeiter Brose)</t>
  </si>
  <si>
    <t xml:space="preserve"> Bewertung</t>
  </si>
  <si>
    <t>Unterschrift</t>
  </si>
  <si>
    <t>Bitte auswählen!</t>
  </si>
  <si>
    <t>*¹</t>
  </si>
  <si>
    <t>Dosierzeit (berechnet)</t>
  </si>
  <si>
    <t>Dichte (Feststoff)</t>
  </si>
  <si>
    <t xml:space="preserve">% of batch </t>
  </si>
  <si>
    <t>%</t>
  </si>
  <si>
    <t>Erläuterungen zum Versionswechsel - siehe Startseite</t>
  </si>
  <si>
    <t>Alle Blätter öffnen / schließen</t>
  </si>
  <si>
    <t>Sprachtabelle</t>
  </si>
  <si>
    <t>gemessene Massetemperatur nach Heißkanal</t>
  </si>
  <si>
    <t>Regranulateinsatz ?</t>
  </si>
  <si>
    <t>Vorwärmtemperatur beim Einlegen in die Kavität</t>
  </si>
  <si>
    <t>Wieviel Gewichtsprozent Feuchtigkeitsaufnahme?</t>
  </si>
  <si>
    <t>Einzugstemperatur erhöhen (bei PA)</t>
  </si>
  <si>
    <t>Zylindertemperatur erhöhen</t>
  </si>
  <si>
    <t>Zylindertemperatur senken</t>
  </si>
  <si>
    <t>Düsentemperatur erhöhen</t>
  </si>
  <si>
    <t>Düsentemperatur senken</t>
  </si>
  <si>
    <t>Werkzeugtemperatur erhöhen</t>
  </si>
  <si>
    <t>Werkzeugtemperatur senken</t>
  </si>
  <si>
    <t>Spritzdruck erhöhen</t>
  </si>
  <si>
    <t>Spritzdruck senken</t>
  </si>
  <si>
    <t>Nachdruck und -zeit erhöhen</t>
  </si>
  <si>
    <t>Nachdruck und -zeit senken</t>
  </si>
  <si>
    <t>Staudruck erhöhen</t>
  </si>
  <si>
    <t>Staudruck senken</t>
  </si>
  <si>
    <t>Schließkraft erhöhen</t>
  </si>
  <si>
    <t>Einspritzgeschwindigkeit erhöhen</t>
  </si>
  <si>
    <t>Einspritzgeschwindigkeit senken</t>
  </si>
  <si>
    <t>Querschnittsübergänge optimieren</t>
  </si>
  <si>
    <t>Schneckendrehzahl senken</t>
  </si>
  <si>
    <t>Dosierung erhöhen</t>
  </si>
  <si>
    <t>Dosierung senken</t>
  </si>
  <si>
    <t>Kühlzeit verlängern</t>
  </si>
  <si>
    <t>Kühlzeit verkürzen</t>
  </si>
  <si>
    <t>Gleichmäßigen Zyklus einhalten</t>
  </si>
  <si>
    <t>Spritzbeginn verzögern</t>
  </si>
  <si>
    <t>Langsamer entformen</t>
  </si>
  <si>
    <t>Entformung mittels Pressluft</t>
  </si>
  <si>
    <t>Formtrennmittel einsetzen (?!)</t>
  </si>
  <si>
    <t>Einspritzen mit drehender Schnecke</t>
  </si>
  <si>
    <t>Anschnitt / Anguss vergrößern</t>
  </si>
  <si>
    <t>Anschnitt / Anguss verlegen</t>
  </si>
  <si>
    <t xml:space="preserve">Anschnitt an größere Wandstärke </t>
  </si>
  <si>
    <t>Anguss polieren</t>
  </si>
  <si>
    <t>Angussradien anpassen / vergrößern</t>
  </si>
  <si>
    <t>Düse reinigen</t>
  </si>
  <si>
    <t>Festsitz der Düse prüfen</t>
  </si>
  <si>
    <t>WZ - Konturkanten polieren</t>
  </si>
  <si>
    <t>WZ - Trennebene überprüfen</t>
  </si>
  <si>
    <t>WZ - Parallelität Durchbiegung prüfen</t>
  </si>
  <si>
    <t>WZ - Konizität erhöhen</t>
  </si>
  <si>
    <t>WZ - Reinigen / Polieren</t>
  </si>
  <si>
    <t>WZ - Entlüftung verbessern</t>
  </si>
  <si>
    <t xml:space="preserve">Gleichmäßige Wandstärken </t>
  </si>
  <si>
    <t>Kernzentrierung prüfen</t>
  </si>
  <si>
    <t>Materialvortrocknung prüfen</t>
  </si>
  <si>
    <t>Materialzufuhr prüfen</t>
  </si>
  <si>
    <t>Schneckenzylinder reinigen</t>
  </si>
  <si>
    <t>Konditionierung von Polyamiden</t>
  </si>
  <si>
    <t>Index:</t>
  </si>
  <si>
    <t>语言选择 
(Select Language)</t>
  </si>
  <si>
    <t>Sprachauswahl 
(Select Language)</t>
  </si>
  <si>
    <t>Staudruck (spezifisch)</t>
  </si>
  <si>
    <t>Liegt ein CT-Bericht vor?</t>
  </si>
  <si>
    <t>Ist die Bauteilanalyse mittels CT erforderlich?</t>
  </si>
  <si>
    <t>Wird der Restfeuchtegehalt ermittelt?</t>
  </si>
  <si>
    <t>Change-over point</t>
  </si>
  <si>
    <t>Kommentar</t>
  </si>
  <si>
    <t>Werden die Bauteile konditioniert?</t>
  </si>
  <si>
    <t>Sonstige integrierte Qualitätssysteme</t>
  </si>
  <si>
    <t>Fließband</t>
  </si>
  <si>
    <t>Other integrated quality systems</t>
  </si>
  <si>
    <t xml:space="preserve">Bauteilentnahme </t>
  </si>
  <si>
    <t>frei fallend</t>
  </si>
  <si>
    <t>Datum</t>
  </si>
  <si>
    <t>Date</t>
  </si>
  <si>
    <t>±</t>
  </si>
  <si>
    <t>ante-chamber type pin gate</t>
  </si>
  <si>
    <t>diaphragm gate</t>
  </si>
  <si>
    <t>ring gate</t>
  </si>
  <si>
    <t>Tranfer-/handling technology</t>
  </si>
  <si>
    <t>Änderungsstand</t>
  </si>
  <si>
    <t>Heat sensor in mold?</t>
  </si>
  <si>
    <t>Schußvolumen (berechnet)</t>
  </si>
  <si>
    <t>Daten aus Parameterblatt</t>
  </si>
  <si>
    <t>Zylinderauslastung</t>
  </si>
  <si>
    <t xml:space="preserve"> %</t>
  </si>
  <si>
    <t>Gewichtsverhältnis nachdruckfrei zu ausgedrückt</t>
  </si>
  <si>
    <t>Nachdruckvolumen</t>
  </si>
  <si>
    <t>Verhältnis Nachdruckvolumen zu Schußvolumen</t>
  </si>
  <si>
    <t>Funktion</t>
  </si>
  <si>
    <t>Function</t>
  </si>
  <si>
    <t>Name</t>
  </si>
  <si>
    <t>Maximal möglicher spezifischer Spritzdruck</t>
  </si>
  <si>
    <t>Signed</t>
  </si>
  <si>
    <t>wegabhängig</t>
  </si>
  <si>
    <t>druckabhängig</t>
  </si>
  <si>
    <t>volumenabhängig</t>
  </si>
  <si>
    <t>fehlende Auswahl</t>
  </si>
  <si>
    <t>dep. on pressure</t>
  </si>
  <si>
    <t>dep. on way</t>
  </si>
  <si>
    <t>dep. on volume</t>
  </si>
  <si>
    <t>--</t>
  </si>
  <si>
    <t>Please choose!</t>
  </si>
  <si>
    <t>Comments</t>
  </si>
  <si>
    <t>Name (Brose)</t>
  </si>
  <si>
    <t>Process Analyses</t>
  </si>
  <si>
    <t>Übergabemaske - bitte keine Änderungen vornehmen!</t>
  </si>
  <si>
    <t>Metering stroke max</t>
  </si>
  <si>
    <t>Metering stroke adjusted</t>
  </si>
  <si>
    <t>Proportion - holding pressure vol. to shot vol.</t>
  </si>
  <si>
    <t>Difference - specified process time to cycle time</t>
  </si>
  <si>
    <t>Difference - holding pressure time and gate greeze off time</t>
  </si>
  <si>
    <t>Injection speed</t>
  </si>
  <si>
    <t>Data from parameter sheet</t>
  </si>
  <si>
    <t xml:space="preserve"> Auswahl für Analyse-Seite</t>
  </si>
  <si>
    <t>Batchanteil</t>
  </si>
  <si>
    <t>Formteil Fehlerkatalog</t>
  </si>
  <si>
    <t>Defects on molded parts</t>
  </si>
  <si>
    <t>Auswertungsblatt</t>
  </si>
  <si>
    <t>Unscrewing mold</t>
  </si>
  <si>
    <t>Tandem mold</t>
  </si>
  <si>
    <t>Tilting plate</t>
  </si>
  <si>
    <t>Core back technology</t>
  </si>
  <si>
    <t>Measured melt temperature after extruder</t>
  </si>
  <si>
    <t>Do you determined the residual moisture content?</t>
  </si>
  <si>
    <t>Simulation &amp; Analysis</t>
  </si>
  <si>
    <t>CT-scan report available?</t>
  </si>
  <si>
    <t>Info: Please submit the CT-scan report to the ISIR date.</t>
  </si>
  <si>
    <t>Measured mold temperature [°C]</t>
  </si>
  <si>
    <t>Sensor used to control the process?</t>
  </si>
  <si>
    <t>Change-over dependent on</t>
  </si>
  <si>
    <t>Has the necessary cooling performance been calculated</t>
  </si>
  <si>
    <t>Results considered in tool design?</t>
  </si>
  <si>
    <t>Melt cushion dependent on</t>
  </si>
  <si>
    <t>Brand/Trade Name</t>
  </si>
  <si>
    <t>Pre-heating temperature by insertion in the cavity</t>
  </si>
  <si>
    <t>conveyor belt</t>
  </si>
  <si>
    <t>Measured melt temperature after hot runner</t>
  </si>
  <si>
    <t>Is regrind material used?</t>
  </si>
  <si>
    <t>Percentage rate of shot weight?</t>
  </si>
  <si>
    <t>Is long glass fibre material used?</t>
  </si>
  <si>
    <t>machine with rotary table</t>
  </si>
  <si>
    <t>Zeit</t>
  </si>
  <si>
    <t>time</t>
  </si>
  <si>
    <t>Restkühlzeit</t>
  </si>
  <si>
    <t>Residual cooling time</t>
  </si>
  <si>
    <t>Maximum clamping force</t>
  </si>
  <si>
    <t>Drei-Plattenwerkzeug</t>
  </si>
  <si>
    <t>Mehrkomponenten</t>
  </si>
  <si>
    <t>Standardaufbau</t>
  </si>
  <si>
    <t>Etagenwerkzeug</t>
  </si>
  <si>
    <t>Tandemwerkzeug</t>
  </si>
  <si>
    <t>Transfertechnik</t>
  </si>
  <si>
    <t>Drehende Indexplatte</t>
  </si>
  <si>
    <t>Kernrückzugstechnik</t>
  </si>
  <si>
    <t>Maschine mit Drehteller</t>
  </si>
  <si>
    <t>Ausdrehform</t>
  </si>
  <si>
    <t>Düsenquerschnitt prüfen (vergrößern)</t>
  </si>
  <si>
    <t xml:space="preserve"> Rating</t>
  </si>
  <si>
    <t xml:space="preserve"> mm</t>
  </si>
  <si>
    <t>Dosierhub maximal</t>
  </si>
  <si>
    <t>Dosierhub eingestellt</t>
  </si>
  <si>
    <t>Zeitpauschale für Werkzeugbewegungen</t>
  </si>
  <si>
    <t>Differenz zwischen Restkühlzeit und Dosierzeit</t>
  </si>
  <si>
    <t xml:space="preserve"> kN</t>
  </si>
  <si>
    <t xml:space="preserve"> g/s</t>
  </si>
  <si>
    <t xml:space="preserve"> min</t>
  </si>
  <si>
    <t xml:space="preserve"> bar</t>
  </si>
  <si>
    <t xml:space="preserve"> m/s</t>
  </si>
  <si>
    <t xml:space="preserve"> h</t>
  </si>
  <si>
    <t xml:space="preserve"> kg</t>
  </si>
  <si>
    <t xml:space="preserve"> g</t>
  </si>
  <si>
    <t>offene Düse</t>
  </si>
  <si>
    <t>offene Düse mit Torpedo</t>
  </si>
  <si>
    <t>Mehrfachdüse</t>
  </si>
  <si>
    <t>multiple tip nozzle</t>
  </si>
  <si>
    <t>Heißkanal Direktanbindung</t>
  </si>
  <si>
    <t>hot runner direct gating</t>
  </si>
  <si>
    <t>tunnel gate</t>
  </si>
  <si>
    <t>tunnel gate with reservoir</t>
  </si>
  <si>
    <t>submarine tunnel gate</t>
  </si>
  <si>
    <t>sprue / direct gating</t>
  </si>
  <si>
    <t>film gate</t>
  </si>
  <si>
    <t>Werkzeugtyp</t>
  </si>
  <si>
    <t>Mold type</t>
  </si>
  <si>
    <t>Massepolster [Volumen]</t>
  </si>
  <si>
    <t>Massepolster [Weg]</t>
  </si>
  <si>
    <t>Melt cushion [volume]</t>
  </si>
  <si>
    <t>Melt cushion [way]</t>
  </si>
  <si>
    <t>Einstellung:</t>
  </si>
  <si>
    <t>Adjustment:</t>
  </si>
  <si>
    <t>Special layout</t>
  </si>
  <si>
    <t>Selection</t>
  </si>
  <si>
    <t>Maximale Schließkraft</t>
  </si>
  <si>
    <t>Werden die Einlegeteile im Vorfeld entfettet?</t>
  </si>
  <si>
    <t>Inserts degreased before using?</t>
  </si>
  <si>
    <t>Einleger entgratet / partiell abgeprägt?</t>
  </si>
  <si>
    <t>Erfolgt eine Prüfung der Einlegeteile?</t>
  </si>
  <si>
    <t>Baujahr der Maschine / der Spritzeinheit</t>
  </si>
  <si>
    <t>Year of manufacture - machine / injection unit</t>
  </si>
  <si>
    <t xml:space="preserve"> cm²</t>
  </si>
  <si>
    <t>Projizierte Bauteilfläche</t>
  </si>
  <si>
    <t>Gemessene Massetemperatur nach Extruder</t>
  </si>
  <si>
    <t xml:space="preserve">Gemessene Werkzeugtemperatur </t>
  </si>
  <si>
    <t>Eingestellte Schließkraft</t>
  </si>
  <si>
    <t>Clamping force (preset)</t>
  </si>
  <si>
    <t>Bitte füllen sie alle markierten Zellen im Formular aus und beachten Sie dabei untenstehende Kommentare!</t>
  </si>
  <si>
    <t>Please complete all market cells into the form according the below-mentioned comments!</t>
  </si>
  <si>
    <t>Folgende Informationen sind für eine finale Bewertung nötig</t>
  </si>
  <si>
    <t>Schließkraftberechnung entsprechend Eingabe</t>
  </si>
  <si>
    <t>Based on projected plane and holding pressure</t>
  </si>
  <si>
    <t>Verhältnis berechneter zu eingestellter Schließkraft</t>
  </si>
  <si>
    <t>Verhältnis berechneter zu maximaler Schließkraft</t>
  </si>
  <si>
    <t>Eingabe links beachten</t>
  </si>
  <si>
    <t>See input on the left</t>
  </si>
  <si>
    <t>Benötigte Schließkraft je Kavität</t>
  </si>
  <si>
    <t>Eingabe:</t>
  </si>
  <si>
    <t>Input:</t>
  </si>
  <si>
    <t>Gesamtzahl der Kavitäten</t>
  </si>
  <si>
    <t>Number of cavities</t>
  </si>
  <si>
    <t>Zuschlag auf Zuhaltung (Schieberfixierung...)</t>
  </si>
  <si>
    <t>Add on load for clamping force (slider fixation...)</t>
  </si>
  <si>
    <t>Three-plate mold</t>
  </si>
  <si>
    <t>Manufacturer / System</t>
  </si>
  <si>
    <t>Channel cross sect.</t>
  </si>
  <si>
    <t>Durchmesser Maschinendüse</t>
  </si>
  <si>
    <t>Machine nozzle diameter</t>
  </si>
  <si>
    <t>中文</t>
  </si>
  <si>
    <t>Fill study has been carried out &amp; documented</t>
  </si>
  <si>
    <t xml:space="preserve">Umschaltpunkt </t>
  </si>
  <si>
    <t>Massepolster abhängig von</t>
  </si>
  <si>
    <t>Volumen</t>
  </si>
  <si>
    <t>volume</t>
  </si>
  <si>
    <t>Chinesisch</t>
  </si>
  <si>
    <t>Versionsübersicht</t>
  </si>
  <si>
    <t>Wurde die notwendige Kühlleistung berechnet?</t>
  </si>
  <si>
    <t>Sind die Ergebnisse im Werkzeug berücksichtigt?</t>
  </si>
  <si>
    <t xml:space="preserve">Feeding zone temperature ▲ Increase (PA) </t>
  </si>
  <si>
    <t>Barrel temperature  ▲  Increase</t>
  </si>
  <si>
    <t>Barrel temperature  ▼  Decrease</t>
  </si>
  <si>
    <t>Nozzle temperature  ▲  Increase</t>
  </si>
  <si>
    <t>Nozzle temperature  ▼  Decrease</t>
  </si>
  <si>
    <t>Mold temperature  ▲  Increase</t>
  </si>
  <si>
    <t>Mold temperature  ▼  Decrease</t>
  </si>
  <si>
    <t>Injection pressure  ▲  Increase</t>
  </si>
  <si>
    <t>Injection pressure  ▼  Decrease</t>
  </si>
  <si>
    <t>Holding pressure / time  ▲  Increase</t>
  </si>
  <si>
    <t>Holding pressure / time  ▼  Decrease</t>
  </si>
  <si>
    <t>Back pressure  ▲  Increase</t>
  </si>
  <si>
    <t>Back pressure  ▼  Decrease</t>
  </si>
  <si>
    <t>Clamping force  ▲  Increase</t>
  </si>
  <si>
    <t>Injection speed  ▲  Increase</t>
  </si>
  <si>
    <t>Injection speed  ▼  Decrease</t>
  </si>
  <si>
    <t>Optimise cross-sectional variations</t>
  </si>
  <si>
    <t>Screw speed  ▼  Decrease</t>
  </si>
  <si>
    <t>Plastification time  ▲  Increase</t>
  </si>
  <si>
    <t>Plastification time  ▼  Decrease</t>
  </si>
  <si>
    <t>Cooling time   ▲  Increase</t>
  </si>
  <si>
    <t>Cooling time   ▼  Decrease</t>
  </si>
  <si>
    <t>Observe a constant cycle</t>
  </si>
  <si>
    <t>Delay the injection beginning</t>
  </si>
  <si>
    <t>Ejection speed reduction</t>
  </si>
  <si>
    <t>Ejection with compressed air</t>
  </si>
  <si>
    <t>Use release agent (if allowed)</t>
  </si>
  <si>
    <t>Inject with rotating screw</t>
  </si>
  <si>
    <t>Gate / Sprue ▲  Increase</t>
  </si>
  <si>
    <t>Gate / Sprue displacement</t>
  </si>
  <si>
    <t>Sprue polishing</t>
  </si>
  <si>
    <t xml:space="preserve">Optimise the sprue radii </t>
  </si>
  <si>
    <t>Angusshinterschnitte verkleinern</t>
  </si>
  <si>
    <t>Reduce the undercuts for sprue fixing</t>
  </si>
  <si>
    <t>Nozzle cleaning</t>
  </si>
  <si>
    <t>Check the nozzle tight fit</t>
  </si>
  <si>
    <t>Check the Nozzle diameter (Increase)</t>
  </si>
  <si>
    <t>Mold - contour flange polishing</t>
  </si>
  <si>
    <t>Mold - bending / parallelism check</t>
  </si>
  <si>
    <t>Mold - increase the draft</t>
  </si>
  <si>
    <t>Mold - cleaning / polishing</t>
  </si>
  <si>
    <t>Mold - optimise venting</t>
  </si>
  <si>
    <t>Similar wallthickness</t>
  </si>
  <si>
    <t>Core centering position check</t>
  </si>
  <si>
    <t>Material pre-drying correct / Equipment check</t>
  </si>
  <si>
    <t>Material feeding system check</t>
  </si>
  <si>
    <t>Barrel / screw cleaning</t>
  </si>
  <si>
    <t>Homogenität optimieren (Staudruck / Schneckendrehzahl)</t>
  </si>
  <si>
    <t>Optimise melt homogenisation (back pressure / screw speed)</t>
  </si>
  <si>
    <t>Rücksprache mit Materialhersteller</t>
  </si>
  <si>
    <t>Material supplier support</t>
  </si>
  <si>
    <t>Freie Fasern in der Materialzuführung</t>
  </si>
  <si>
    <t>Free fibre bundles into the feeding system?</t>
  </si>
  <si>
    <t>Schneckendrehzahl erhöhen</t>
  </si>
  <si>
    <t xml:space="preserve">Screw speed  </t>
  </si>
  <si>
    <t>Scher- und Mischteile verwenden</t>
  </si>
  <si>
    <t>Density (solid)</t>
  </si>
  <si>
    <t>Area for evaluation by Brose.</t>
  </si>
  <si>
    <t>Bereich für Auswertung durch Brose</t>
  </si>
  <si>
    <t>Sonderform (Bemerkungen)</t>
  </si>
  <si>
    <t>Special mold (Remarks)</t>
  </si>
  <si>
    <t>Moldflow AMSI</t>
  </si>
  <si>
    <t>Moldflow AMSA</t>
  </si>
  <si>
    <t>Moldex 3D</t>
  </si>
  <si>
    <t>Sigmasoft</t>
  </si>
  <si>
    <t>andere</t>
  </si>
  <si>
    <t>Simulation software</t>
  </si>
  <si>
    <t>Verwendete Simulationssoftware</t>
  </si>
  <si>
    <t>direkt über kalte Stange</t>
  </si>
  <si>
    <t>direkt über beheizte Düse</t>
  </si>
  <si>
    <t>Heißkanal / Kaltkanalkombination</t>
  </si>
  <si>
    <t>beheizte Düse auf Kaltkanal</t>
  </si>
  <si>
    <t>Angaben zum Kaltkanal</t>
  </si>
  <si>
    <t>bei Brose durchgeführt</t>
  </si>
  <si>
    <t>done by Brose</t>
  </si>
  <si>
    <t>others</t>
  </si>
  <si>
    <t>Stange auf Kaltkanal</t>
  </si>
  <si>
    <t>Heißkanal natürlich balanciert</t>
  </si>
  <si>
    <t>Heißkanal technisch balanciert (Durchmesser)</t>
  </si>
  <si>
    <t>hot runner - natural balanced</t>
  </si>
  <si>
    <t>hot runner - technical balanced (diameter)</t>
  </si>
  <si>
    <t>Auslegung, Simulation und Mengen</t>
  </si>
  <si>
    <t>Verweilzeit (Näherungswert)</t>
  </si>
  <si>
    <t>Bemusterung &amp; Fertigung nach BN 590019? *²</t>
  </si>
  <si>
    <t>Norm: Vermeidung von Emissionen   BN 590607-xxx</t>
  </si>
  <si>
    <t>Norm: Prevention of emissions  BN 590607-xxx</t>
  </si>
  <si>
    <t>Norm: Regenerateinsatz Kunststoffe  BN 590019-xxx</t>
  </si>
  <si>
    <t>Norm: Regenerated material use in plastic BN 590019-xxx</t>
  </si>
  <si>
    <t>Norm: Langfaserverstärkte Thermoplaste  BN 590058-xxx</t>
  </si>
  <si>
    <t>Norm: Long-fiber reinforced thermoplastics BN 590058-xxx</t>
  </si>
  <si>
    <t>Norm: Konditionieren von Polyamiden  BN 590794-xxx</t>
  </si>
  <si>
    <t>Norm: Conditioning Polyamid BN 590794-xxx</t>
  </si>
  <si>
    <t>Sind Emissionsanforderungen bekannt?</t>
  </si>
  <si>
    <t>Emission requirements are known?</t>
  </si>
  <si>
    <t>Insert- / Outsert Teile</t>
  </si>
  <si>
    <t>Insert- / Outsert parts</t>
  </si>
  <si>
    <t>Conditioning of Polyamid</t>
  </si>
  <si>
    <t>Bemerkungen / Weitere nachfolgende Arbeitsgänge</t>
  </si>
  <si>
    <t>Nähere Ausführung bitte im Kommentarfeld rechts.</t>
  </si>
  <si>
    <t>For description use commend field at the right side.</t>
  </si>
  <si>
    <t>Bitte hier nachfolgende Arbeitsgänge näher ausführen.</t>
  </si>
  <si>
    <t>Remarks / Other additional production steps</t>
  </si>
  <si>
    <t>Please discribe futher production steps in detail.</t>
  </si>
  <si>
    <t>Auf Basis von projizierter Fläche und Nachdruck</t>
  </si>
  <si>
    <t>Parameter</t>
  </si>
  <si>
    <t>Auswertungsversion - M. Salzmann [2881]</t>
  </si>
  <si>
    <t>Eigene Parameter</t>
  </si>
  <si>
    <t>Back pressure (melt )</t>
  </si>
  <si>
    <t>Schneckenlänge / Schneckendurchmesser Verhältnis</t>
  </si>
  <si>
    <t xml:space="preserve"> /1</t>
  </si>
  <si>
    <t>siehe Bemerkungen</t>
  </si>
  <si>
    <t xml:space="preserve"> Sprache</t>
  </si>
  <si>
    <t>Auswahlfelder</t>
  </si>
  <si>
    <t>Selection fields</t>
  </si>
  <si>
    <t>Verweisbereich Administrator / Fehlerkatalog</t>
  </si>
  <si>
    <t>Veränderungen nur durch Administrator zulässig!</t>
  </si>
  <si>
    <t>Indizierung</t>
  </si>
  <si>
    <t xml:space="preserve">Type of cold runner </t>
  </si>
  <si>
    <t>Würfelwerkzeug</t>
  </si>
  <si>
    <t>73.1   Simulationssoftware</t>
  </si>
  <si>
    <t>73.2   Angussart</t>
  </si>
  <si>
    <t>95.1   Bauteilentnahme</t>
  </si>
  <si>
    <t>400…500</t>
  </si>
  <si>
    <t>12…307</t>
  </si>
  <si>
    <t>blank A173</t>
  </si>
  <si>
    <t>blank A174</t>
  </si>
  <si>
    <t>blank A175</t>
  </si>
  <si>
    <t>blank A176</t>
  </si>
  <si>
    <t>blank A177</t>
  </si>
  <si>
    <t>blank A178</t>
  </si>
  <si>
    <t>blank A179</t>
  </si>
  <si>
    <t>blank A180</t>
  </si>
  <si>
    <t>blank A181</t>
  </si>
  <si>
    <t>blank A182</t>
  </si>
  <si>
    <t>blank A183</t>
  </si>
  <si>
    <t>blank A184</t>
  </si>
  <si>
    <t>blank A185</t>
  </si>
  <si>
    <t>blank A186</t>
  </si>
  <si>
    <t>blank A187</t>
  </si>
  <si>
    <t>blank A188</t>
  </si>
  <si>
    <t>blank A189</t>
  </si>
  <si>
    <t>blank A190</t>
  </si>
  <si>
    <t>blank A191</t>
  </si>
  <si>
    <t>blank A192</t>
  </si>
  <si>
    <t>blank A193</t>
  </si>
  <si>
    <t>blank A194</t>
  </si>
  <si>
    <t>blank A195</t>
  </si>
  <si>
    <t>blank A196</t>
  </si>
  <si>
    <t>blank A197</t>
  </si>
  <si>
    <t>blank A198</t>
  </si>
  <si>
    <t>blank A199</t>
  </si>
  <si>
    <t xml:space="preserve"> Grat am Spritzteil außen</t>
  </si>
  <si>
    <t xml:space="preserve"> Flash</t>
  </si>
  <si>
    <t xml:space="preserve"> Lunker, Vakuolen</t>
  </si>
  <si>
    <t xml:space="preserve"> Einfallstellen</t>
  </si>
  <si>
    <t xml:space="preserve"> Fließ- / Bindenähte</t>
  </si>
  <si>
    <t xml:space="preserve"> Verbrennungen / Verunreinigungen</t>
  </si>
  <si>
    <t xml:space="preserve"> Schlieren / Streifenbildung</t>
  </si>
  <si>
    <t xml:space="preserve"> Glasfaserschlieren</t>
  </si>
  <si>
    <t xml:space="preserve"> Feuchtigkeitsschlieren</t>
  </si>
  <si>
    <t xml:space="preserve"> Farbschlieren</t>
  </si>
  <si>
    <t xml:space="preserve"> Verbrennungsschlieren</t>
  </si>
  <si>
    <t xml:space="preserve"> Luftschlieren</t>
  </si>
  <si>
    <t xml:space="preserve"> Abblättern / Schichtbildung</t>
  </si>
  <si>
    <t xml:space="preserve"> Verzug</t>
  </si>
  <si>
    <t xml:space="preserve"> Entformungsriefen</t>
  </si>
  <si>
    <t xml:space="preserve"> Spannungen in Angussnähe</t>
  </si>
  <si>
    <t xml:space="preserve"> Matte Oberfläche</t>
  </si>
  <si>
    <t xml:space="preserve"> Wellige Oberfläche (Schallplatteneffekt)</t>
  </si>
  <si>
    <t xml:space="preserve"> Anguß reißt ab</t>
  </si>
  <si>
    <t xml:space="preserve"> Teil wird nicht gefüllt</t>
  </si>
  <si>
    <t xml:space="preserve"> Teil entformt nicht</t>
  </si>
  <si>
    <t xml:space="preserve"> Auswerfer stoßen durch</t>
  </si>
  <si>
    <t xml:space="preserve"> Verfärbung im Anguss</t>
  </si>
  <si>
    <t xml:space="preserve"> Ungleichmäßige Plastifizierung</t>
  </si>
  <si>
    <t xml:space="preserve"> Schnecke läuft nicht zurück</t>
  </si>
  <si>
    <t xml:space="preserve"> Mat. Austritt zw. Düse &amp; Angussbuchse</t>
  </si>
  <si>
    <t xml:space="preserve"> Kernversatz</t>
  </si>
  <si>
    <t xml:space="preserve"> Steigende Zylindertemperatur</t>
  </si>
  <si>
    <t xml:space="preserve"> Voids</t>
  </si>
  <si>
    <t xml:space="preserve"> Sink marks</t>
  </si>
  <si>
    <t xml:space="preserve"> Weld lines / Flow lines</t>
  </si>
  <si>
    <t xml:space="preserve"> Diesel effect / Burn marks / Pollution</t>
  </si>
  <si>
    <t xml:space="preserve"> Streaks</t>
  </si>
  <si>
    <t xml:space="preserve"> Flaking / Lamination</t>
  </si>
  <si>
    <t xml:space="preserve"> Warpage</t>
  </si>
  <si>
    <t xml:space="preserve"> Scratches / Striation marks</t>
  </si>
  <si>
    <t xml:space="preserve"> Stress (cracks) into the gating point area</t>
  </si>
  <si>
    <t xml:space="preserve"> Demolding problems</t>
  </si>
  <si>
    <t xml:space="preserve"> Problems withe the screw retraction</t>
  </si>
  <si>
    <t xml:space="preserve"> Core displacement</t>
  </si>
  <si>
    <t xml:space="preserve"> Barrel temperature increasing</t>
  </si>
  <si>
    <t>Reihenverteilung, 1 Ebene</t>
  </si>
  <si>
    <t>Reihenverteilung, 2 Ebenen</t>
  </si>
  <si>
    <t>Reihenverteilung, 3 Ebenen</t>
  </si>
  <si>
    <t>Sternverteiler</t>
  </si>
  <si>
    <t>Reihen- / Stern-Kombination</t>
  </si>
  <si>
    <t>Anbindung zentral, direkt</t>
  </si>
  <si>
    <t>Anbindung zentral, indirekt</t>
  </si>
  <si>
    <t>Anbindung seitlich, direkt</t>
  </si>
  <si>
    <t>Anbindung seitlich, indirekt</t>
  </si>
  <si>
    <t>Anbindung auf Unterseite</t>
  </si>
  <si>
    <t>Mehrfachanbindung</t>
  </si>
  <si>
    <t>Anbindung durch den Kern</t>
  </si>
  <si>
    <t>Bemusterung &amp; Fertigung nach BN 590058? *¹</t>
  </si>
  <si>
    <t>Bemusterung &amp; Fertigung nach BN 590607 ? *³</t>
  </si>
  <si>
    <t>Nadelverschluss hydraulisch</t>
  </si>
  <si>
    <t>Nadelverschluss pneumatisch</t>
  </si>
  <si>
    <t>Nadelverschluss elektrisch</t>
  </si>
  <si>
    <t>Nadelverschluss mechanisch</t>
  </si>
  <si>
    <t>Tunnelanguss</t>
  </si>
  <si>
    <t>Tunnelanguss mit Stauboden</t>
  </si>
  <si>
    <t>Gebogener Tunnelanguss</t>
  </si>
  <si>
    <t>Stangenanguss</t>
  </si>
  <si>
    <t>Band- oder Filmanguss</t>
  </si>
  <si>
    <t>Vorkammerpunktanguss</t>
  </si>
  <si>
    <t>Schirmanguss</t>
  </si>
  <si>
    <t>Ringanguss</t>
  </si>
  <si>
    <t>Analysis sheet</t>
  </si>
  <si>
    <t>Celstran + PP-GF30-05CN01/10 (CoPo)</t>
  </si>
  <si>
    <t>Celstran + PP-GF30-04CN02/10 (HomoPo)</t>
  </si>
  <si>
    <t>Celstran PP-GF40-04-0414 P 10/10 (HomoPo)</t>
  </si>
  <si>
    <t>PBT</t>
  </si>
  <si>
    <t>Celanex 2300 GV 1/30</t>
  </si>
  <si>
    <t>POM</t>
  </si>
  <si>
    <t>PP GF20</t>
  </si>
  <si>
    <t>PP TV20</t>
  </si>
  <si>
    <t>PBT GF30</t>
  </si>
  <si>
    <t>Grundsätzlich sind die Vorgaben aus der Kunststoff-Dachnorm BN 568923-xxx zu beachten!</t>
  </si>
  <si>
    <t>The requirements of the umbrella-standard for plastic: BN 568923-xxx must be observed!</t>
  </si>
  <si>
    <t>Info: Der Moldflowbericht ist zur FS vorzustellen!</t>
  </si>
  <si>
    <t>Info: Please submit the moldflow report to the FS date.</t>
  </si>
  <si>
    <t>i108</t>
  </si>
  <si>
    <t xml:space="preserve"> x D</t>
  </si>
  <si>
    <t>Angaben zur FS [QVP]</t>
  </si>
  <si>
    <t>Prozess Bewertung</t>
  </si>
  <si>
    <t>Input for FS [APQP]</t>
  </si>
  <si>
    <t>Zylindertemperatur (Profil / Toleranz)</t>
  </si>
  <si>
    <t>Barrel temperature (profile / tolerance)</t>
  </si>
  <si>
    <t>Heißkanaltemperaturen</t>
  </si>
  <si>
    <t xml:space="preserve">Werkzeugtemperatur (Wert / Toleranz) </t>
  </si>
  <si>
    <t>Temperatures into the hot runner system</t>
  </si>
  <si>
    <t>Mold temperature (value / tolerance) [°C]</t>
  </si>
  <si>
    <t>Metering stroke / screw diameter ratio</t>
  </si>
  <si>
    <t>Auswahl Anwendungsfall</t>
  </si>
  <si>
    <t>Select use case</t>
  </si>
  <si>
    <t>43.1 Materialauswahl</t>
  </si>
  <si>
    <t>Stahlauswahl</t>
  </si>
  <si>
    <t>Alternativmaterial entspr. Brose Zeichnung vorgesehen</t>
  </si>
  <si>
    <t>Alternative material according Brose drawing?</t>
  </si>
  <si>
    <t>Dichte (Schmelze) über Auswahl "Rohstofftyp"</t>
  </si>
  <si>
    <t>Density (melt) via Selection "Material type"</t>
  </si>
  <si>
    <t>Celanex 2300 GV 1/20</t>
  </si>
  <si>
    <t>PP GF30 [CoPo]</t>
  </si>
  <si>
    <t>PEEK</t>
  </si>
  <si>
    <t>PPS GF40</t>
  </si>
  <si>
    <t>PPS GF MD 65</t>
  </si>
  <si>
    <t>PP TV30</t>
  </si>
  <si>
    <t>PP TV10</t>
  </si>
  <si>
    <t>PA 6 GF50</t>
  </si>
  <si>
    <t>PA 6 GF30</t>
  </si>
  <si>
    <t>PA 6 GF15</t>
  </si>
  <si>
    <t>PA 6</t>
  </si>
  <si>
    <t>PBT GF20</t>
  </si>
  <si>
    <t xml:space="preserve">Santoprene 101-64              </t>
  </si>
  <si>
    <t>POM [tribologieoptimiert]</t>
  </si>
  <si>
    <t>Hostaform C9021</t>
  </si>
  <si>
    <t>PS</t>
  </si>
  <si>
    <t>PA 66</t>
  </si>
  <si>
    <t>PA 66 GF15</t>
  </si>
  <si>
    <t>PA 66 GF25</t>
  </si>
  <si>
    <t>PA 66 GF30</t>
  </si>
  <si>
    <t>PA 66 GF35</t>
  </si>
  <si>
    <t>PA 10 T/XT</t>
  </si>
  <si>
    <t>PA 12</t>
  </si>
  <si>
    <t>Grivory HT3 ZLF</t>
  </si>
  <si>
    <t>TPE O</t>
  </si>
  <si>
    <t>TPE A</t>
  </si>
  <si>
    <t>TPE E</t>
  </si>
  <si>
    <t>TPE V</t>
  </si>
  <si>
    <t>TPC</t>
  </si>
  <si>
    <t>PA 6T/6I GF60</t>
  </si>
  <si>
    <t>PA 6T/6I GF50</t>
  </si>
  <si>
    <t>ISO [ASTM]</t>
  </si>
  <si>
    <t>[PPA GF50]</t>
  </si>
  <si>
    <t>[PPA GF60]</t>
  </si>
  <si>
    <t>Schmelzedichte</t>
  </si>
  <si>
    <t>Nr.</t>
  </si>
  <si>
    <t>ISO Bezeichung</t>
  </si>
  <si>
    <t>ASTM</t>
  </si>
  <si>
    <t>Referenzmaterial</t>
  </si>
  <si>
    <t>Schmelze
[g/cm³]</t>
  </si>
  <si>
    <t>Feststoff
[g/cm³]</t>
  </si>
  <si>
    <t>Ultramid B3</t>
  </si>
  <si>
    <t>Ultramid B3EG3</t>
  </si>
  <si>
    <t>Ultramid B3EG6</t>
  </si>
  <si>
    <t>Ultramid A3W</t>
  </si>
  <si>
    <t>Ultramid A3WG3</t>
  </si>
  <si>
    <t>Ultramid A3WG5</t>
  </si>
  <si>
    <t>Ultramid A3WG6</t>
  </si>
  <si>
    <t>Ultramid A3WG7</t>
  </si>
  <si>
    <t>Hostaform C9021 AW</t>
  </si>
  <si>
    <t>Hostacom G2 N02</t>
  </si>
  <si>
    <t>Grivory GV-4H [PA66+PA6I/6T]</t>
  </si>
  <si>
    <t>Grivory GV-6H [PA66+PA6I/6T]</t>
  </si>
  <si>
    <t>Hostacom M1 U01</t>
  </si>
  <si>
    <t>Hostacom M2 U02</t>
  </si>
  <si>
    <t>select</t>
  </si>
  <si>
    <t>Batch identification</t>
  </si>
  <si>
    <t>!</t>
  </si>
  <si>
    <t>Düse</t>
  </si>
  <si>
    <t>Nozzle</t>
  </si>
  <si>
    <t>see comments</t>
  </si>
  <si>
    <t>i107</t>
  </si>
  <si>
    <t>Projected area of the part</t>
  </si>
  <si>
    <t>Screw length / screw diameter ratio</t>
  </si>
  <si>
    <t>Cycle time</t>
  </si>
  <si>
    <t>Residence time (approx. value)</t>
  </si>
  <si>
    <t>Specific pack/hold pressure profile (melt)</t>
  </si>
  <si>
    <t>Hold / pack pressure time</t>
  </si>
  <si>
    <t>Gate open time (freeze)</t>
  </si>
  <si>
    <t>Metering speed</t>
  </si>
  <si>
    <t>Stationary side</t>
  </si>
  <si>
    <t>Moving side</t>
  </si>
  <si>
    <t>Set injection pressure (melt)</t>
  </si>
  <si>
    <t>Actual injection pressure (melt)</t>
  </si>
  <si>
    <t>Maximum specific injection pressure (melt)</t>
  </si>
  <si>
    <t>Is material checked by incoming inspection?</t>
  </si>
  <si>
    <t>Drying of the material?</t>
  </si>
  <si>
    <t>Drying temperature</t>
  </si>
  <si>
    <t>Drying time</t>
  </si>
  <si>
    <t>Base resin for batch</t>
  </si>
  <si>
    <t>Inserts pre-heated (capable process)?</t>
  </si>
  <si>
    <t>How are the parts conditioned?</t>
  </si>
  <si>
    <t>Moisture absorption ratio (%)</t>
  </si>
  <si>
    <t>Will this value be checked?</t>
  </si>
  <si>
    <t>How is the check realized?</t>
  </si>
  <si>
    <t>Part take out</t>
  </si>
  <si>
    <t>Is it required to analyse the parts via CT-scan ?</t>
  </si>
  <si>
    <t>Following information are required for our final review</t>
  </si>
  <si>
    <t>Time estimate for mold movements</t>
  </si>
  <si>
    <t>Required clamp force per cavity</t>
  </si>
  <si>
    <t>Barrel utilization</t>
  </si>
  <si>
    <t>Weight ratio - with and without pack pressure</t>
  </si>
  <si>
    <t>Hold pressure volume</t>
  </si>
  <si>
    <t>Difference - remaining cooling time and metering time</t>
  </si>
  <si>
    <t>Ratio - injection time to specified tolerance</t>
  </si>
  <si>
    <t>Ratio - melt cushion to specified tolerance</t>
  </si>
  <si>
    <t>Please compare to the process recommendation of the material manufacturer</t>
  </si>
  <si>
    <t>Clamping force calculation based on input</t>
  </si>
  <si>
    <t>Ratio - calculated to adjusted clamping force</t>
  </si>
  <si>
    <t>Ratio - calculated to maximum clamping force</t>
  </si>
  <si>
    <t>Hand-over form  - please don't modify!</t>
  </si>
  <si>
    <t>missing selection</t>
  </si>
  <si>
    <t>Language table</t>
  </si>
  <si>
    <t>Open / close all pages</t>
  </si>
  <si>
    <t>For Administration only!</t>
  </si>
  <si>
    <t>Multi shot mold</t>
  </si>
  <si>
    <t>direct gated with cold runner</t>
  </si>
  <si>
    <t>direct gated with hot runner</t>
  </si>
  <si>
    <t>cold runner with subrunner</t>
  </si>
  <si>
    <t>hot nozzle on cold runner</t>
  </si>
  <si>
    <t>hot runner with cold subrunner</t>
  </si>
  <si>
    <t>open nozzle</t>
  </si>
  <si>
    <t>open nozzle with torpedo tip</t>
  </si>
  <si>
    <t>hydraulic needle valve gate</t>
  </si>
  <si>
    <t>pneumatic needle valve gate</t>
  </si>
  <si>
    <t>electric needle valve gate</t>
  </si>
  <si>
    <t>mechanical needle valve gate</t>
  </si>
  <si>
    <t>cold runner, line form, 1 level</t>
  </si>
  <si>
    <t>cold runner, line form, 2 level</t>
  </si>
  <si>
    <t>cold runner, line form, 3 level</t>
  </si>
  <si>
    <t>cold runner, star form</t>
  </si>
  <si>
    <t>cold runner line / star form combination</t>
  </si>
  <si>
    <t>direct gating - three plate mold</t>
  </si>
  <si>
    <t>central gate central, direct</t>
  </si>
  <si>
    <t>central gate central, indirect</t>
  </si>
  <si>
    <t>lateral gate, direct</t>
  </si>
  <si>
    <t>lateral gate, indirect</t>
  </si>
  <si>
    <t>gate at the bottom side</t>
  </si>
  <si>
    <t>Multiple gates</t>
  </si>
  <si>
    <t>gate via core</t>
  </si>
  <si>
    <t xml:space="preserve"> Glass fibre flow marks</t>
  </si>
  <si>
    <t xml:space="preserve"> Moisture flow marks</t>
  </si>
  <si>
    <t xml:space="preserve"> Colour flow marks</t>
  </si>
  <si>
    <t xml:space="preserve"> Burn flow marks</t>
  </si>
  <si>
    <t xml:space="preserve"> Air flow marks</t>
  </si>
  <si>
    <t>Matted surface</t>
  </si>
  <si>
    <t>Smoth surface grooves (disc groove effect)</t>
  </si>
  <si>
    <t>Sprue tears off</t>
  </si>
  <si>
    <t>Short shot</t>
  </si>
  <si>
    <t xml:space="preserve"> Ejector marks / Ejector destroy the part</t>
  </si>
  <si>
    <t>Color change at the gate</t>
  </si>
  <si>
    <t>Variation during plasticizing</t>
  </si>
  <si>
    <t>Accepted</t>
  </si>
  <si>
    <t>Accepted with requirements (see comments)</t>
  </si>
  <si>
    <t>Not accepted  (see comments)</t>
  </si>
  <si>
    <t>Akzeptiert</t>
  </si>
  <si>
    <t xml:space="preserve">Akzeptiert mit Auflagen (siehe Kommentar) </t>
  </si>
  <si>
    <t xml:space="preserve">Nicht akzeptiert! (siehe Kommentar) </t>
  </si>
  <si>
    <t>Gate position / design according Brose drawing?</t>
  </si>
  <si>
    <t>Position / Gestaltung entsprechend Brose Zeichnung</t>
  </si>
  <si>
    <t>Handling / Qualität</t>
  </si>
  <si>
    <t>Handling / Quality</t>
  </si>
  <si>
    <t>Info: Wenn kein Zeichnungseintrag vorliegt, so sind sowohl die Lage als auch die Gestaltung im Rahmen der FS mit Brose abzustimmen und entsprechend zu dokumentieren!</t>
  </si>
  <si>
    <t>Info: If there is no drawing specification, both the location and the design must be discussed with Brose and documented in the feasibility study!</t>
  </si>
  <si>
    <t xml:space="preserve"> MS</t>
  </si>
  <si>
    <t>Hersteller / Typ</t>
  </si>
  <si>
    <t>Leistungsangaben</t>
  </si>
  <si>
    <t>Brand / Type</t>
  </si>
  <si>
    <t>Performance details</t>
  </si>
  <si>
    <t xml:space="preserve"> FS</t>
  </si>
  <si>
    <t xml:space="preserve"> BS</t>
  </si>
  <si>
    <t>Shotweight  FS / ISIR   [incl. cold runner]</t>
  </si>
  <si>
    <t>Schussgewicht  FS / EMPB   [inkl. Anguss]</t>
  </si>
  <si>
    <t>gehärtet</t>
  </si>
  <si>
    <t>beschichtet</t>
  </si>
  <si>
    <t>1.2343 ~ H11</t>
  </si>
  <si>
    <t>1.2311 ~ P20</t>
  </si>
  <si>
    <t>1.2312 ~ P20+S</t>
  </si>
  <si>
    <t>1.2738 ~ P20+N</t>
  </si>
  <si>
    <t>1.2344 ~ H13</t>
  </si>
  <si>
    <t>1.2767 ~ 6F7</t>
  </si>
  <si>
    <t>1.2085 ~ 422+S</t>
  </si>
  <si>
    <t>Angaben zur Stahl-Güte</t>
  </si>
  <si>
    <t>Steel grade specification</t>
  </si>
  <si>
    <t>Kavität feste WZ-Hälfte</t>
  </si>
  <si>
    <t>Kavität bewegliche WZ-Hälfte</t>
  </si>
  <si>
    <t>Teileinsätze / Entformelemente</t>
  </si>
  <si>
    <t>Cavity fix side</t>
  </si>
  <si>
    <t>Cavity movable side</t>
  </si>
  <si>
    <t>Inserts / Demolding elements</t>
  </si>
  <si>
    <t>coated</t>
  </si>
  <si>
    <t>hardened</t>
  </si>
  <si>
    <t>1.1730 ~ SAE 1045</t>
  </si>
  <si>
    <t>Formaufbau</t>
  </si>
  <si>
    <t>Mold frame</t>
  </si>
  <si>
    <t>Betreffende Bereiche / resultierende Maßnahmen sind  mit Brose abzustimmen.</t>
  </si>
  <si>
    <t>Geometrisch bedingte Porosität zu erwarten?</t>
  </si>
  <si>
    <t>Porosity based on part design expected?</t>
  </si>
  <si>
    <t>Relevant areas / resulting actions must be coordinated with Brose.</t>
  </si>
  <si>
    <t>Sind Grenzporositäten definiert [Zeichnung]?</t>
  </si>
  <si>
    <t>Porosity limits defined [drawing]?</t>
  </si>
  <si>
    <t>Sondermaterial</t>
  </si>
  <si>
    <t>special material</t>
  </si>
  <si>
    <t>PP LGF30 [Homopolymer]</t>
  </si>
  <si>
    <t>PP GF30</t>
  </si>
  <si>
    <t>no cold runner</t>
  </si>
  <si>
    <t>Düsentyp</t>
  </si>
  <si>
    <t>英文</t>
  </si>
  <si>
    <t xml:space="preserve">导航 </t>
  </si>
  <si>
    <t>分析表格</t>
  </si>
  <si>
    <t>是</t>
  </si>
  <si>
    <t>否</t>
  </si>
  <si>
    <t>见注释</t>
  </si>
  <si>
    <t>日期</t>
  </si>
  <si>
    <t>FS（APQP）输入</t>
  </si>
  <si>
    <t>工艺分析</t>
  </si>
  <si>
    <t>选择使用案例</t>
  </si>
  <si>
    <t>最大锁模力</t>
  </si>
  <si>
    <t>产品的投影面积</t>
  </si>
  <si>
    <t>螺杆直径</t>
  </si>
  <si>
    <t>螺杆长径比</t>
  </si>
  <si>
    <t>注塑机喷嘴直径</t>
  </si>
  <si>
    <t xml:space="preserve">注塑周期  </t>
  </si>
  <si>
    <t>时间</t>
  </si>
  <si>
    <t>压力</t>
  </si>
  <si>
    <t>保压时间</t>
  </si>
  <si>
    <t>保压是否优化</t>
  </si>
  <si>
    <t xml:space="preserve">位置 </t>
  </si>
  <si>
    <t>胶量</t>
  </si>
  <si>
    <t xml:space="preserve">保压切换点 </t>
  </si>
  <si>
    <t>计量速度</t>
  </si>
  <si>
    <t>设定的料温（各区 / 偏差）</t>
  </si>
  <si>
    <t>热流道系统温度</t>
  </si>
  <si>
    <t>注塑端　</t>
  </si>
  <si>
    <t>顶出端</t>
  </si>
  <si>
    <t>计算结果是否考虑在模具设计中?</t>
  </si>
  <si>
    <t>模具是否有温度传感器?</t>
  </si>
  <si>
    <t>模温机的数量</t>
  </si>
  <si>
    <t>进行过填充模拟分析吗？有报告吗？</t>
  </si>
  <si>
    <t>每模料重（包括冷流道）</t>
  </si>
  <si>
    <t>无保压时每穴产品的重量（称重）</t>
  </si>
  <si>
    <t>每穴产品的重量（称重）</t>
  </si>
  <si>
    <t>原料类型</t>
  </si>
  <si>
    <t>干燥箱类型</t>
  </si>
  <si>
    <t>供料设备</t>
  </si>
  <si>
    <t>排放的要求是否了解？</t>
  </si>
  <si>
    <t>标准：禁止排放 BN 590607-xxx</t>
  </si>
  <si>
    <t>模拟和分析</t>
  </si>
  <si>
    <t>模具类型</t>
  </si>
  <si>
    <t>模具结构（型腔数目）</t>
  </si>
  <si>
    <t>模具尺寸</t>
  </si>
  <si>
    <t>模具重量</t>
  </si>
  <si>
    <t>标准：长玻璃纤维塑料标准 BN 590058-xxx</t>
  </si>
  <si>
    <t>标准：回料投放标准 BN 590019-xxx</t>
  </si>
  <si>
    <t>喷嘴</t>
  </si>
  <si>
    <t>冷流道类型</t>
  </si>
  <si>
    <t>分流道截面</t>
  </si>
  <si>
    <t>浇口类型</t>
  </si>
  <si>
    <t>浇口位置/设计要参照图纸？</t>
  </si>
  <si>
    <t>角度　</t>
  </si>
  <si>
    <t>长度</t>
  </si>
  <si>
    <t>嵌入件是否被预热?</t>
  </si>
  <si>
    <t>嵌入件是否去毛刺?</t>
  </si>
  <si>
    <t>试生产和生产制程应符合博泽标准BN 590794</t>
  </si>
  <si>
    <t>传送带</t>
  </si>
  <si>
    <t>标准：Polyamid BN 590794-xxx 原料的生产条件</t>
  </si>
  <si>
    <t>特殊材料</t>
  </si>
  <si>
    <t>部门</t>
  </si>
  <si>
    <t>姓名</t>
  </si>
  <si>
    <t>签名</t>
  </si>
  <si>
    <t>注释</t>
  </si>
  <si>
    <t>下列的信息需要最终确认</t>
  </si>
  <si>
    <t>批次标识</t>
  </si>
  <si>
    <t>FS</t>
  </si>
  <si>
    <t>MS</t>
  </si>
  <si>
    <t>钢材等级规格</t>
  </si>
  <si>
    <t>定模</t>
  </si>
  <si>
    <t>动模</t>
  </si>
  <si>
    <t>模架</t>
  </si>
  <si>
    <t>选择 ISO~AISI</t>
  </si>
  <si>
    <t>硬化</t>
  </si>
  <si>
    <t>涂层</t>
  </si>
  <si>
    <t>每穴产品所需的锁模力</t>
  </si>
  <si>
    <t>输入</t>
  </si>
  <si>
    <t>穴数</t>
  </si>
  <si>
    <t xml:space="preserve">最大的计量行程 </t>
  </si>
  <si>
    <t xml:space="preserve">设定的计量行程 </t>
  </si>
  <si>
    <t>残余量（位置）</t>
  </si>
  <si>
    <t>调整</t>
  </si>
  <si>
    <t>注射速度</t>
  </si>
  <si>
    <t>锁模力的计算是基于输入的数值</t>
  </si>
  <si>
    <t>基于投影面积和保压压力</t>
  </si>
  <si>
    <t>乘以直径</t>
  </si>
  <si>
    <t>取决于压力</t>
  </si>
  <si>
    <t>取决于位置</t>
  </si>
  <si>
    <t>取决于体积</t>
  </si>
  <si>
    <t>遗漏的选项</t>
  </si>
  <si>
    <t>产品的问题点</t>
  </si>
  <si>
    <t>语言</t>
  </si>
  <si>
    <t>选择项</t>
  </si>
  <si>
    <t>打开/关闭所有页</t>
  </si>
  <si>
    <t>参数</t>
  </si>
  <si>
    <t>仅供管理者使用！</t>
  </si>
  <si>
    <t>机器配比</t>
  </si>
  <si>
    <t>人工配比</t>
  </si>
  <si>
    <t>标准模具</t>
  </si>
  <si>
    <t>三板模</t>
  </si>
  <si>
    <t>叠模</t>
  </si>
  <si>
    <t>串联模</t>
  </si>
  <si>
    <t>内或外螺纹模具</t>
  </si>
  <si>
    <t>多件成型模</t>
  </si>
  <si>
    <t>双色注塑机取件技术</t>
  </si>
  <si>
    <t>斜契顶出技术</t>
  </si>
  <si>
    <t>倾斜板</t>
  </si>
  <si>
    <t>带转盘的注塑机</t>
  </si>
  <si>
    <t>特殊模具 (标注)</t>
  </si>
  <si>
    <t>气辅注射模具</t>
  </si>
  <si>
    <t>水辅注射模具</t>
  </si>
  <si>
    <t>冷流道直接进胶</t>
  </si>
  <si>
    <t>热流道直接进胶</t>
  </si>
  <si>
    <t>冷流道转分流道</t>
  </si>
  <si>
    <t>热流道在冷流道上</t>
  </si>
  <si>
    <t>热流道-自然平衡</t>
  </si>
  <si>
    <t>热流道-可调平衡（直径）</t>
  </si>
  <si>
    <t>热转冷分流道</t>
  </si>
  <si>
    <t>特殊排位</t>
  </si>
  <si>
    <t>开放式喷嘴</t>
  </si>
  <si>
    <t>针点式开放喷嘴</t>
  </si>
  <si>
    <t>液压针阀浇口</t>
  </si>
  <si>
    <t>气动针阀浇口</t>
  </si>
  <si>
    <t>电动针阀浇口</t>
  </si>
  <si>
    <t>机械控制针阀浇口</t>
  </si>
  <si>
    <t>多点喷嘴</t>
  </si>
  <si>
    <t>冷流道 线型 主流道</t>
  </si>
  <si>
    <t>冷流道 线型 2级分流道</t>
  </si>
  <si>
    <t>冷流道 线型 3级分流道</t>
  </si>
  <si>
    <t>冷流道 星型</t>
  </si>
  <si>
    <t>冷流道 线型/星型结合</t>
  </si>
  <si>
    <t>其它</t>
  </si>
  <si>
    <t>博泽处理</t>
  </si>
  <si>
    <t>隧道式浇口</t>
  </si>
  <si>
    <t>潜伏式隧道浇口</t>
  </si>
  <si>
    <t>流道/直接进胶</t>
  </si>
  <si>
    <t>薄壁浇口</t>
  </si>
  <si>
    <t>直接进胶-三板模</t>
  </si>
  <si>
    <t>前模点进胶</t>
  </si>
  <si>
    <t>盘型浇口</t>
  </si>
  <si>
    <t>环型浇口</t>
  </si>
  <si>
    <t>浇口在中心 直接</t>
  </si>
  <si>
    <t>浇口在中心 间接</t>
  </si>
  <si>
    <t>侧浇口 直接</t>
  </si>
  <si>
    <t>侧浇口 间接</t>
  </si>
  <si>
    <t>浇口在底部</t>
  </si>
  <si>
    <t>多浇口</t>
  </si>
  <si>
    <t>浇口在功能区</t>
  </si>
  <si>
    <t>请选择</t>
  </si>
  <si>
    <t>接受</t>
  </si>
  <si>
    <t>附带要求的接受（见注释）</t>
  </si>
  <si>
    <t>不接受（见注释）</t>
  </si>
  <si>
    <t>在塑胶生产过程中消除注塑缺陷</t>
  </si>
  <si>
    <t>样品有缺陷</t>
  </si>
  <si>
    <t>补救措施</t>
  </si>
  <si>
    <t>毛边</t>
  </si>
  <si>
    <t>气泡</t>
  </si>
  <si>
    <t>缩印</t>
  </si>
  <si>
    <t>溶接线/流痕</t>
  </si>
  <si>
    <t>油污/烧焦/污染</t>
  </si>
  <si>
    <t>纹路</t>
  </si>
  <si>
    <t>玻纤流痕</t>
  </si>
  <si>
    <t>水纹</t>
  </si>
  <si>
    <t>色差</t>
  </si>
  <si>
    <t>烧焦</t>
  </si>
  <si>
    <t>困气</t>
  </si>
  <si>
    <t>破损/纹理</t>
  </si>
  <si>
    <t>翘曲</t>
  </si>
  <si>
    <t>划痕/条痕</t>
  </si>
  <si>
    <t>浇口处应力（拉伤）</t>
  </si>
  <si>
    <t>表面退色</t>
  </si>
  <si>
    <t>表面凹槽（凹吭）</t>
  </si>
  <si>
    <t>拉丝</t>
  </si>
  <si>
    <t>短射</t>
  </si>
  <si>
    <t>顶出问题</t>
  </si>
  <si>
    <t>顶针印/顶凸，顶穿</t>
  </si>
  <si>
    <t>浇口处变色</t>
  </si>
  <si>
    <t>降解</t>
  </si>
  <si>
    <t>螺杆磨损问题</t>
  </si>
  <si>
    <t>喷嘴和浇口套溢料问题</t>
  </si>
  <si>
    <t>错位</t>
  </si>
  <si>
    <t>炮筒升温</t>
  </si>
  <si>
    <t xml:space="preserve">供料系统温度▲增加(PA) </t>
  </si>
  <si>
    <t>炮筒温度▲增加</t>
  </si>
  <si>
    <t>炮筒温度▼减小</t>
  </si>
  <si>
    <t>喷嘴温度▲增加</t>
  </si>
  <si>
    <t>喷嘴温度▼减小</t>
  </si>
  <si>
    <t>模具温度▲增加</t>
  </si>
  <si>
    <t>模具温度▼减小</t>
  </si>
  <si>
    <t>计量监测</t>
  </si>
  <si>
    <t>注塑压力▲增加</t>
  </si>
  <si>
    <t>注塑压力▼减小</t>
  </si>
  <si>
    <t>保压压力/时间▲增加</t>
  </si>
  <si>
    <t>保压压力/时间▼减小</t>
  </si>
  <si>
    <t>背压▲增加</t>
  </si>
  <si>
    <t>背压▼减小</t>
  </si>
  <si>
    <t>锁模力▲增加</t>
  </si>
  <si>
    <t>注塑速度▲增加</t>
  </si>
  <si>
    <t>注塑速度▼减小</t>
  </si>
  <si>
    <t>计量优化</t>
  </si>
  <si>
    <t>螺杆转速</t>
  </si>
  <si>
    <t>螺杆转速▼减小</t>
  </si>
  <si>
    <t>塑化时间▲增加</t>
  </si>
  <si>
    <t>塑化时间▼减小</t>
  </si>
  <si>
    <t>冷却时间▲增加</t>
  </si>
  <si>
    <t>冷却时间▼减小</t>
  </si>
  <si>
    <t>改善塑化（背压/螺杆转速）</t>
  </si>
  <si>
    <t>周期监控</t>
  </si>
  <si>
    <t>喷嘴后退</t>
  </si>
  <si>
    <t>顶出速度减小</t>
  </si>
  <si>
    <t>气动顶出</t>
  </si>
  <si>
    <t>使用其它方法（如果可以）</t>
  </si>
  <si>
    <t>挤出成型</t>
  </si>
  <si>
    <t>浇口/流道▲增加</t>
  </si>
  <si>
    <t>浇口/无流道</t>
  </si>
  <si>
    <t>浇口放在壁厚较厚的区域</t>
  </si>
  <si>
    <t>流道抛光</t>
  </si>
  <si>
    <t>优化流道半径</t>
  </si>
  <si>
    <t>减小浇口倒口量</t>
  </si>
  <si>
    <t>喷嘴清理</t>
  </si>
  <si>
    <t>检查喷嘴配合</t>
  </si>
  <si>
    <t>检查喷嘴直径（增大）</t>
  </si>
  <si>
    <t>模具-表面清理</t>
  </si>
  <si>
    <t>模具-分型线/分模线检查</t>
  </si>
  <si>
    <t>模具-翘曲/平行检查</t>
  </si>
  <si>
    <t>模具-增加脱模角</t>
  </si>
  <si>
    <t>模具-清理/抛光</t>
  </si>
  <si>
    <t>模具-改善排气</t>
  </si>
  <si>
    <t>壁厚均匀</t>
  </si>
  <si>
    <t>中心轴定位检查</t>
  </si>
  <si>
    <t>原料烘干方法/设备检查</t>
  </si>
  <si>
    <t>原料供料系统检查</t>
  </si>
  <si>
    <t>智能的供料系统（如 PP LGF）</t>
  </si>
  <si>
    <t>炮筒/螺杆清理</t>
  </si>
  <si>
    <t>原料供应商的支持</t>
  </si>
  <si>
    <t>玻纤自由放置供料系统？</t>
  </si>
  <si>
    <t>采用搅拌形式</t>
  </si>
  <si>
    <t>使用更小的色母或者色基</t>
  </si>
  <si>
    <t>炮桶将熔体的瓦斯气体排出</t>
  </si>
  <si>
    <t xml:space="preserve">热流道温度▲增加 </t>
  </si>
  <si>
    <t>热流道温度▼减小</t>
  </si>
  <si>
    <t>检查塑化单元的磨损和盲点</t>
  </si>
  <si>
    <t>检查保压时间/保压阶段的温度减小</t>
  </si>
  <si>
    <t>尼龙的调湿</t>
  </si>
  <si>
    <t>MFDB</t>
  </si>
  <si>
    <t>POM GF 10</t>
  </si>
  <si>
    <t>POM GF 20</t>
  </si>
  <si>
    <t>POM GF 30</t>
  </si>
  <si>
    <t>Vestamid L1670 nc</t>
  </si>
  <si>
    <t>Schulamid 6 GF50</t>
  </si>
  <si>
    <t>Hostaform C9021 GV 1/10</t>
  </si>
  <si>
    <t>Hostaform C9021 GV 1/20</t>
  </si>
  <si>
    <t>Hostaform C9021 GV 1/30</t>
  </si>
  <si>
    <t>Hostacom G3 N01</t>
  </si>
  <si>
    <t>Altech PS A 1000/108</t>
  </si>
  <si>
    <t>Fortron 1140E7</t>
  </si>
  <si>
    <t>Fortron 4665B6</t>
  </si>
  <si>
    <t>Info Jürgen keine Type hinterlegt</t>
  </si>
  <si>
    <t>JH</t>
  </si>
  <si>
    <t>Hostacom XM3 T14</t>
  </si>
  <si>
    <t>Vestakeep 4000 GF</t>
  </si>
  <si>
    <t>Celstran PP-GF60-0453 P10/10</t>
  </si>
  <si>
    <t>Celanex 2004-2</t>
  </si>
  <si>
    <t>PBT GF50</t>
  </si>
  <si>
    <t>Ultradur B 4300 G10</t>
  </si>
  <si>
    <t>POM [tribology opt.]</t>
  </si>
  <si>
    <t>PP LGF30 [homopolymer]</t>
  </si>
  <si>
    <t>HH</t>
  </si>
  <si>
    <t>PA 6 GF35</t>
  </si>
  <si>
    <t>PA 6 GF25</t>
  </si>
  <si>
    <t>Ultramid B3WG7</t>
  </si>
  <si>
    <t>Ultramid B3EG5</t>
  </si>
  <si>
    <t>i109</t>
  </si>
  <si>
    <t>Seriennahe Bauteile [Prototypen]</t>
  </si>
  <si>
    <t xml:space="preserve">Die mit einem * gekennzeichneten Felder sind für die FS (QVP) Pflichteingaben. Über oben stehende Auswahl sind die entsprechenden Felder hervorzuheben. </t>
  </si>
  <si>
    <t>The fields marked by one * represent mandatory entries for the FS (APQP). You can highlight the relevant fields by using this selection field.</t>
  </si>
  <si>
    <t>PP LGF40</t>
  </si>
  <si>
    <t>PP LGF60</t>
  </si>
  <si>
    <t>TPE U</t>
  </si>
  <si>
    <t>Elastollan C85A15HPM</t>
  </si>
  <si>
    <t>PA 6 GF40</t>
  </si>
  <si>
    <t>PA 66 GF50</t>
  </si>
  <si>
    <t>Výber jazyka
(Select Language)</t>
  </si>
  <si>
    <t>Slovensky</t>
  </si>
  <si>
    <t>Parametre procesu vstrekovania</t>
  </si>
  <si>
    <t>Navigácia</t>
  </si>
  <si>
    <t>Záznam z analýzy</t>
  </si>
  <si>
    <t>Info: v prípade viackomponentného výrobku, vyplňte samostatný formulár
pre každý použitý materiál</t>
  </si>
  <si>
    <t>Oblasti vyznačené * sú povinné údaje pre 
FS (APQP). Príslušné oblasti môžete zvýrazniť vo výberovom poli.</t>
  </si>
  <si>
    <t>Áno</t>
  </si>
  <si>
    <t>Nie</t>
  </si>
  <si>
    <t>viď. komentár</t>
  </si>
  <si>
    <t>Dátum</t>
  </si>
  <si>
    <t>Stroj a výrobné parametre stroja</t>
  </si>
  <si>
    <t>Typ vstrekolisu</t>
  </si>
  <si>
    <t>Rok výroby stroja / vstrekovacej jednotky</t>
  </si>
  <si>
    <t xml:space="preserve">Vstupy pre FS - fill study (APQP) </t>
  </si>
  <si>
    <t>Analýza procesu</t>
  </si>
  <si>
    <t>Výber</t>
  </si>
  <si>
    <t>Maximálna zatváracia sila</t>
  </si>
  <si>
    <t>Zatváracia sila</t>
  </si>
  <si>
    <t>Projekčná plocha dielca</t>
  </si>
  <si>
    <t>Priemer skrutky (šneku)</t>
  </si>
  <si>
    <t>Dĺżka skrutky (šneku)</t>
  </si>
  <si>
    <t>/1</t>
  </si>
  <si>
    <t>Maximálny plastifikaċný výkon (na základe PS)</t>
  </si>
  <si>
    <t>Maximálny možný objem dávky</t>
  </si>
  <si>
    <t>Veľkosť dávky (kalkulovaná)</t>
  </si>
  <si>
    <t>Priemer otvoru vstrekovacej trysky stroja</t>
  </si>
  <si>
    <t>Čas dávkovania</t>
  </si>
  <si>
    <t>Výrobný cyklus</t>
  </si>
  <si>
    <t>Doba zotrvania vo valci (približná hodnota)</t>
  </si>
  <si>
    <t>Vstrekovací čas (hodnota / tolerancia)</t>
  </si>
  <si>
    <t>Profil dotlakovej fázy</t>
  </si>
  <si>
    <t>Čas</t>
  </si>
  <si>
    <t>Tlak</t>
  </si>
  <si>
    <t>Čas dotlaku</t>
  </si>
  <si>
    <t>Vykonané zlepšenie - čas dotlaku?</t>
  </si>
  <si>
    <t>Čas zamrznutia vtoku</t>
  </si>
  <si>
    <t>Zostávajúci čas chladenia</t>
  </si>
  <si>
    <t>Závislosť prepnutia na dotlak od</t>
  </si>
  <si>
    <t>Dráha</t>
  </si>
  <si>
    <t>Objem</t>
  </si>
  <si>
    <t>Prepínaci bod na dotlak</t>
  </si>
  <si>
    <t xml:space="preserve">Materiálový vankúš závislý na </t>
  </si>
  <si>
    <t>Protitlak</t>
  </si>
  <si>
    <t>Obvodová rýchlosť skrutky (šnek)</t>
  </si>
  <si>
    <t xml:space="preserve">Rýchlosť dávkovania </t>
  </si>
  <si>
    <t>Teplota plastifikačného valca (profil / tolerancia)</t>
  </si>
  <si>
    <t>Nameraná teplota taveniny po odstreknutí z valca</t>
  </si>
  <si>
    <t>Nameraná teplota taveniny po odstreknutí z HK</t>
  </si>
  <si>
    <t>Teplota horúcich kanálov</t>
  </si>
  <si>
    <t>Teplota formy (hodnota / tolerancia) [°C]</t>
  </si>
  <si>
    <t>Pevná strana</t>
  </si>
  <si>
    <t xml:space="preserve">Pohyb.str. </t>
  </si>
  <si>
    <t>Nameraná telpota formy  [°C]</t>
  </si>
  <si>
    <t>Bol kalkulovaný chladiaci výkon?</t>
  </si>
  <si>
    <t>Boli zohľadnené  výsledky pri diizajnovaní formy?</t>
  </si>
  <si>
    <t>Nachádza sa vo forme snímač teloty formy?</t>
  </si>
  <si>
    <t xml:space="preserve">Nachádza sa vo forme snímač controly procesu? </t>
  </si>
  <si>
    <t>Počet chladiacich okruhov vo forme</t>
  </si>
  <si>
    <t>Počet temperačiek</t>
  </si>
  <si>
    <t>Nastavený vstrekovací tlak</t>
  </si>
  <si>
    <t>Skutočný vstrekovací tlak</t>
  </si>
  <si>
    <t>Maximálny špecifický vstrekovací tlak</t>
  </si>
  <si>
    <t>Nachádza sa vo forme snímač tlaku?</t>
  </si>
  <si>
    <t>Nachádza sa vo forme snímač controly procesu?</t>
  </si>
  <si>
    <t>Bola vykonaná a zdokumetovaná analýza plnenia?</t>
  </si>
  <si>
    <t>Váha odstreku FS / ISIR [vrátane studeného vtoku]</t>
  </si>
  <si>
    <t>Váha všetkých dutín bez dotlaku</t>
  </si>
  <si>
    <t>Váha všetkých dutín s dotlakom</t>
  </si>
  <si>
    <t>Druh materiálu</t>
  </si>
  <si>
    <t>Obchodný názov materiálu</t>
  </si>
  <si>
    <t xml:space="preserve">Objemová hmotnosť </t>
  </si>
  <si>
    <t>Hustota materiálu</t>
  </si>
  <si>
    <t>Alternatívny materiál podľa výkresu Brose?</t>
  </si>
  <si>
    <t>Vykonáva sa vstupná kontrola pre daný materiál?</t>
  </si>
  <si>
    <t>Je potrebné sušiť daný materiál?</t>
  </si>
  <si>
    <t>Typ sušiacého zariadenia</t>
  </si>
  <si>
    <t>Teplota sušenia</t>
  </si>
  <si>
    <t>Čas sušenia</t>
  </si>
  <si>
    <t>% farby (Master)</t>
  </si>
  <si>
    <t>Základný materiál pre farbičku</t>
  </si>
  <si>
    <t>Systém pre nasávanie materiálu</t>
  </si>
  <si>
    <t>Detailný opis</t>
  </si>
  <si>
    <t>Pouižíva sa materiál s dlhými sklennými vláknami?</t>
  </si>
  <si>
    <t>Používa sa drvený materiál?</t>
  </si>
  <si>
    <t>Aké je percentuálne zastúpenie drveného materiálu? (%)</t>
  </si>
  <si>
    <t>Su známe požiadavky pre emisie?</t>
  </si>
  <si>
    <t>Vzorkovanie a výroba podĭa BN 590607 ? *3</t>
  </si>
  <si>
    <t>Norma: Materiály plnené dlhými sklennými vláknami BN 590058-xxx</t>
  </si>
  <si>
    <t>Norma: Používanie drveného materiálu v plastoch BN 590019-xxx</t>
  </si>
  <si>
    <t>Norma: Prevencia pre znečistenie BN 590607-xxx</t>
  </si>
  <si>
    <t>Boli skontrolované všetky požiadavky z normy 
BN 568923-xxx</t>
  </si>
  <si>
    <t>Simulácia a analýzi</t>
  </si>
  <si>
    <t>Typ formy</t>
  </si>
  <si>
    <t>Dizajn formy (počet dutín)</t>
  </si>
  <si>
    <t>Rozmer formy</t>
  </si>
  <si>
    <t>Hmotnosť formy</t>
  </si>
  <si>
    <t>Bola vykonaná simulácia vstrekovania?</t>
  </si>
  <si>
    <t>Boli použité výsled. simulácie pri diizajnovaní formy?</t>
  </si>
  <si>
    <t>Použitý software pre simuláciu</t>
  </si>
  <si>
    <t>info: predložte moldflow report analýzu tečenia materiálu  (FS - fill study)</t>
  </si>
  <si>
    <t>Vtok</t>
  </si>
  <si>
    <t>Výrobca / Systém</t>
  </si>
  <si>
    <t>Priemer kanálu rozvodného bloku</t>
  </si>
  <si>
    <t>Tryska</t>
  </si>
  <si>
    <t>Typ trysky</t>
  </si>
  <si>
    <t>Typ studeného vtoku</t>
  </si>
  <si>
    <t>Ústie vtoku</t>
  </si>
  <si>
    <t>Prierez kanála</t>
  </si>
  <si>
    <t>Typ vtoku</t>
  </si>
  <si>
    <t>Umiestnenie vtoku / na základe výkresu Brose?</t>
  </si>
  <si>
    <t xml:space="preserve">Uhol </t>
  </si>
  <si>
    <t xml:space="preserve">Dĺžka </t>
  </si>
  <si>
    <t>Vkladanie dielov - zástreky</t>
  </si>
  <si>
    <t>Predhrievanie dutín formy (spōsobilý proces)</t>
  </si>
  <si>
    <t>Teplota predhrievania dutín formy</t>
  </si>
  <si>
    <t>Dodatočná operácia, odstránenie ostrých hrán</t>
  </si>
  <si>
    <t>Boli tvarové vložky pred použitím odmastené?</t>
  </si>
  <si>
    <t>Boli použité tvarové vložky počas vzorkovania?</t>
  </si>
  <si>
    <t>Kondicionácia Polyamidov</t>
  </si>
  <si>
    <t>Je potrebná kondicionácia dielov?</t>
  </si>
  <si>
    <t>Ako prebieha kondicionácia dielov?</t>
  </si>
  <si>
    <t>Pre detailny opis použi kolónku vpravo</t>
  </si>
  <si>
    <t>Percento kondicionácie (%)</t>
  </si>
  <si>
    <t>Vykonáva sa kontrola?</t>
  </si>
  <si>
    <t>Ako sa vykonáva kontrola?</t>
  </si>
  <si>
    <t>Vzorkovanie a výroba podĭa BN 590794 ? *1</t>
  </si>
  <si>
    <t>Norma: Kondicionovania polyamidov BN 590794-xxx</t>
  </si>
  <si>
    <t>Poznámky / ďalšie výrobné operácie</t>
  </si>
  <si>
    <t>Detailne opíšte ďalšie výrobné operácie</t>
  </si>
  <si>
    <t>Odoberanie / kvalita</t>
  </si>
  <si>
    <t>Odoberanie dielov</t>
  </si>
  <si>
    <t>Dopravníkový pás</t>
  </si>
  <si>
    <t>Ďalšie integrované systémi kvality</t>
  </si>
  <si>
    <t xml:space="preserve">Pokiaĭ nie sú umiestnenie a dizajn vtoku špecifikované vo výkrese, je nutné konzultovať príslušné riešenie s firmou Brose. Následne musí byť zrealizovaná a zdokumentovaná štúdia uskutočniteĭnosti.  </t>
  </si>
  <si>
    <t>Špeciálny materiál</t>
  </si>
  <si>
    <t>Je potrebné vykonať CT analýzu dielov ?</t>
  </si>
  <si>
    <t>Je dostupný záznam z CT analýzi?</t>
  </si>
  <si>
    <t>Info: prosímm, predložte CT záznam do termínu zaslania ISIR správy</t>
  </si>
  <si>
    <t>Pozícia</t>
  </si>
  <si>
    <t>Meno</t>
  </si>
  <si>
    <t>Podpísaný</t>
  </si>
  <si>
    <t>Oblasť pre vyhodnotenie firmou Brose</t>
  </si>
  <si>
    <t>Hodnotenie</t>
  </si>
  <si>
    <t>Komentáre</t>
  </si>
  <si>
    <t>Meno (Brose)</t>
  </si>
  <si>
    <t>Vyplňte všetky označené bunky podľa nižšie uvedených komentárov</t>
  </si>
  <si>
    <t>Následujúce informácie sú potrebné ceklový prehľad</t>
  </si>
  <si>
    <t>Odhadovaný čas pohybov formy</t>
  </si>
  <si>
    <t>Identifikácia šarže</t>
  </si>
  <si>
    <t>Značka / typ</t>
  </si>
  <si>
    <t>Prevádzková špecifikácia</t>
  </si>
  <si>
    <t>Pohyb.</t>
  </si>
  <si>
    <t>Špecifikácia ocele pre formu</t>
  </si>
  <si>
    <t>Pevná strana formy</t>
  </si>
  <si>
    <t>Pohyblivá strana formy</t>
  </si>
  <si>
    <t>Tvarové vložky /odformovacie časti</t>
  </si>
  <si>
    <t>Rám formy</t>
  </si>
  <si>
    <t>Výber ISO-AISI</t>
  </si>
  <si>
    <t>Tvrdosť</t>
  </si>
  <si>
    <t>Je definovaný stupeň pórovitosti (výkres)</t>
  </si>
  <si>
    <t>Požadovaná pórovitosť na základe konštrukcie dielca</t>
  </si>
  <si>
    <t>Súvisiace oblasti / výsledné opatrenia musia byť koordinované s firmou Brose</t>
  </si>
  <si>
    <t>Dáta z parametrov procesu</t>
  </si>
  <si>
    <t>Požadovaná zatváracie sila na jednu dutinu</t>
  </si>
  <si>
    <t>Vstup:</t>
  </si>
  <si>
    <t>Počet dutín</t>
  </si>
  <si>
    <t>Zvýšená zatv.sila posúvnych jadier</t>
  </si>
  <si>
    <t>Maximálny objem dávky stroja (šneku)</t>
  </si>
  <si>
    <t>Nastavený objem dávky</t>
  </si>
  <si>
    <t>Dávkovanie / pomer priemeru skrutky</t>
  </si>
  <si>
    <t>Výkon plastifikačnej jednotky (kg / hod)</t>
  </si>
  <si>
    <t>Rozdiel hmotnosti dielca - s dotlakom a bez dotlaku</t>
  </si>
  <si>
    <t>Materiálový vankúš (objem)</t>
  </si>
  <si>
    <t>Materiálový vankúš (dráha)</t>
  </si>
  <si>
    <t>Nastavenie:</t>
  </si>
  <si>
    <t>Veľkosť dotlaku</t>
  </si>
  <si>
    <t>Pomer -  objem  dotlaku a odstreku</t>
  </si>
  <si>
    <t>Rozdiel - predpísaný a skutočný cyklus</t>
  </si>
  <si>
    <t xml:space="preserve">Rozdiel -  zostávajúca doba chlad. a dávkovania             </t>
  </si>
  <si>
    <t>Rozdiel - medzi časom dotlaku a zamrznutím vtoku</t>
  </si>
  <si>
    <t>Pomer - vstrekovací čas k špecifikovanej tolerancii</t>
  </si>
  <si>
    <t>Pomer - materiálový vankúš k špecifikovanej tolerancii</t>
  </si>
  <si>
    <t>Vstrekovania rýchlosť</t>
  </si>
  <si>
    <t>Porovnajte procesné parametre s doporučenými parametrami výrobcu materiálu</t>
  </si>
  <si>
    <t>Kalkulácia zatváracej sili na základe vstupov</t>
  </si>
  <si>
    <t>Na základe projekčnej plochy a veľkosti dotlaku</t>
  </si>
  <si>
    <t>Pomer - medzi kalk. a skutoč. zatv. silou</t>
  </si>
  <si>
    <t>Pomer - k maximálnej zatváracej sile</t>
  </si>
  <si>
    <t>Pozri vstupy na ľavej strane</t>
  </si>
  <si>
    <t>Prebierka formy - nemeniť</t>
  </si>
  <si>
    <t>x D</t>
  </si>
  <si>
    <t>Závislosť na tlaku</t>
  </si>
  <si>
    <t>Závislosť na dráhe</t>
  </si>
  <si>
    <t>Závislosť na objeme</t>
  </si>
  <si>
    <t>Chýba výber</t>
  </si>
  <si>
    <t>Chyby vstrekovania</t>
  </si>
  <si>
    <t>Jazyková tabuľka</t>
  </si>
  <si>
    <t>Výberové pole</t>
  </si>
  <si>
    <t>Otvoriť / zatvoriť všetky strany</t>
  </si>
  <si>
    <t>Vlastné parametre</t>
  </si>
  <si>
    <t>Len pre administrátora</t>
  </si>
  <si>
    <t>Dávkovač farbiva</t>
  </si>
  <si>
    <t>Ručné dávkovanie</t>
  </si>
  <si>
    <t>Štandardná forma</t>
  </si>
  <si>
    <t>Trojdosková forma</t>
  </si>
  <si>
    <t>Etážová forma</t>
  </si>
  <si>
    <t>Tandemová forma</t>
  </si>
  <si>
    <t>Forma so závitovkou pre odform. dielov</t>
  </si>
  <si>
    <t>Forma s viacerími druhmi výliskov</t>
  </si>
  <si>
    <t>Forma s vkladaním záliskov</t>
  </si>
  <si>
    <t>Forma vybevená hydraulickými jadrami</t>
  </si>
  <si>
    <t>Forma s otočnou "INDEX" doskou</t>
  </si>
  <si>
    <t>Stroj vybavený otočným stolom</t>
  </si>
  <si>
    <t>Špeciálna forma (poznámky)</t>
  </si>
  <si>
    <t>Viackomponentná forma</t>
  </si>
  <si>
    <t>Vstrekovanie plynom</t>
  </si>
  <si>
    <t>Vstrekovanie vodou</t>
  </si>
  <si>
    <t>Priamy studený vtok</t>
  </si>
  <si>
    <t>Priamy horúci vtok</t>
  </si>
  <si>
    <t>Studený vtok a studený rozvod</t>
  </si>
  <si>
    <t>Kombinácia horúceho a studeného vtoku</t>
  </si>
  <si>
    <t>Horúce kanály - základné balancovanie</t>
  </si>
  <si>
    <t>Horúce kanály - technické balancovanie</t>
  </si>
  <si>
    <t>HK ústia vtoku so studeným rozvodom</t>
  </si>
  <si>
    <t>Špeciálne usporiadanie</t>
  </si>
  <si>
    <t>Otvorená tryska</t>
  </si>
  <si>
    <t>Otvorená tryska s torpédom</t>
  </si>
  <si>
    <t>Hydraulicky ovládaná uzatváracia ihla</t>
  </si>
  <si>
    <t>Pneumaticky ovládaná uzatváracia ihla</t>
  </si>
  <si>
    <t>Elektricky ovládaná uzatváracia ihla</t>
  </si>
  <si>
    <t>Mechanicky ovládaná uzatváracia ihla</t>
  </si>
  <si>
    <t>Viac dýzový system</t>
  </si>
  <si>
    <t>Bez studeného vtoku</t>
  </si>
  <si>
    <t>liniovy studeny kanal, 1 hladina</t>
  </si>
  <si>
    <t>liniovy studeny kanal, 2 hladina</t>
  </si>
  <si>
    <t>liniovy studeny kanal, 3 hladina</t>
  </si>
  <si>
    <t>hviezdicovy rozdelovač</t>
  </si>
  <si>
    <t>liniovy / hviezdicovy rozdelovač kombinacia</t>
  </si>
  <si>
    <t>Iný</t>
  </si>
  <si>
    <t>Simulované firmou Brose</t>
  </si>
  <si>
    <t>Tunelový vtok</t>
  </si>
  <si>
    <t>Tunelový vtok s naliatkom</t>
  </si>
  <si>
    <t>Banánový vtok</t>
  </si>
  <si>
    <t>Vtokové ústie / priamy vtok</t>
  </si>
  <si>
    <t>Štrbinový vtok</t>
  </si>
  <si>
    <t>Priamy vtok - trojdosková forma</t>
  </si>
  <si>
    <t>Vtok s naliatkom</t>
  </si>
  <si>
    <t>Štítový vtok do dielu</t>
  </si>
  <si>
    <t>Diskový vtok</t>
  </si>
  <si>
    <t>Iné</t>
  </si>
  <si>
    <t>Centrálny vtok priamy</t>
  </si>
  <si>
    <t>Centrélny vtok nepriamy</t>
  </si>
  <si>
    <t>Bočny vtok priamy</t>
  </si>
  <si>
    <t xml:space="preserve">Spodný vtok </t>
  </si>
  <si>
    <t>Viacvtokoý</t>
  </si>
  <si>
    <t>Vtok priamo do jadra</t>
  </si>
  <si>
    <t>Prosím, vyberte</t>
  </si>
  <si>
    <t>Akceptované</t>
  </si>
  <si>
    <t>Akceptované s požiadavkami (viď. Poznámky)</t>
  </si>
  <si>
    <t xml:space="preserve">Neakceptované (viď. Poznámky) </t>
  </si>
  <si>
    <t>Eliminácia výskytu chýb vstrekovania termoplastov</t>
  </si>
  <si>
    <t>Možné opatrenia</t>
  </si>
  <si>
    <t>Prestrek</t>
  </si>
  <si>
    <t>Bublinky / prázdne dutinky</t>
  </si>
  <si>
    <t>Prepadliny</t>
  </si>
  <si>
    <t>Studené spoje z tečenia alebo spojenia materialu</t>
  </si>
  <si>
    <t>Spálenie/ diesel effect</t>
  </si>
  <si>
    <t>Strieborné šmuhy</t>
  </si>
  <si>
    <t>Strieborné šmuhy od sklenných vlákien</t>
  </si>
  <si>
    <t>Strieborné šmuhy od vlhkosti v materiály</t>
  </si>
  <si>
    <t>Šmuhy z farby</t>
  </si>
  <si>
    <t>Šmuhy z prepáleného materialu</t>
  </si>
  <si>
    <t>Šmuhy zo vzduchu</t>
  </si>
  <si>
    <t>Delaminácia - odlupovanie vrstiev plastu</t>
  </si>
  <si>
    <t>Deformácia</t>
  </si>
  <si>
    <t>Škriabance pri odformovani z dielu</t>
  </si>
  <si>
    <t>Pnutia (praskliny) pri ústi vtoku</t>
  </si>
  <si>
    <t>Matný povrch</t>
  </si>
  <si>
    <t>Vlny toku taveniny na povrchu dielca 
(gramofónový effect)</t>
  </si>
  <si>
    <t>Ulomenie ústia vtoku</t>
  </si>
  <si>
    <t>Nedostreknuté</t>
  </si>
  <si>
    <t>Problém s odformovaním</t>
  </si>
  <si>
    <t>Pretlačený diel od vyhadzovačov 
(poškodenie dielca (vyhadzovačmi)</t>
  </si>
  <si>
    <t>Zmena farby na vtoku (mechanicke poškodenie)</t>
  </si>
  <si>
    <t>Nerovnomerné dávkovanie taveniny</t>
  </si>
  <si>
    <t>Šnek (skrutka) nejde dozadu (nedávkuje)</t>
  </si>
  <si>
    <t>Únik taveniny medzi tryskou stroja a ústim vtoku 
vo forme</t>
  </si>
  <si>
    <t>Presadenie jadra</t>
  </si>
  <si>
    <t>Zvýšenie teploty valca</t>
  </si>
  <si>
    <t>▲Zvýšiť teplotu v dávkovacej zóne</t>
  </si>
  <si>
    <t>▲Zvýšiť teplotu valca</t>
  </si>
  <si>
    <t>▼Znížiť teplotu valca</t>
  </si>
  <si>
    <t>▲Zvýšiť telplotu trysky</t>
  </si>
  <si>
    <t>▼Znížiť teplotu trysky</t>
  </si>
  <si>
    <t>▲Zvýšiť telplotu formy</t>
  </si>
  <si>
    <t>▼Znížiť teplotu formy</t>
  </si>
  <si>
    <t>Skontrolujte skladovanie granulátu</t>
  </si>
  <si>
    <t>▲Vstrekovací tlak zvýšiť</t>
  </si>
  <si>
    <t>▼Vstrekovací tlak znížiť</t>
  </si>
  <si>
    <t>▲Čas dotlaku zvýšiť</t>
  </si>
  <si>
    <t>▼Čas dotlaku znížiť</t>
  </si>
  <si>
    <t>▲Protitlak zvýšiť</t>
  </si>
  <si>
    <t>▼Protitlak znížiť</t>
  </si>
  <si>
    <t>▲Zatváracia sila zvýšiť</t>
  </si>
  <si>
    <t>▲Vstrekovacia rýchlosť zvýšiť</t>
  </si>
  <si>
    <t>▼Vstrekovacia rýchlosť znížiť</t>
  </si>
  <si>
    <t>Optimaliozujte zmeny hrúbky dielca</t>
  </si>
  <si>
    <t>Otáčky skrutky</t>
  </si>
  <si>
    <t>▼Zníženie otáčok skrutky</t>
  </si>
  <si>
    <t>▲Čas dávkovania zvýšiť</t>
  </si>
  <si>
    <t>▼Čas dávkovania znížiť</t>
  </si>
  <si>
    <t>▲Čas chladenia zvýšiť</t>
  </si>
  <si>
    <t>▼Čas chladenia znížiť</t>
  </si>
  <si>
    <t>Optimalizácia homogenity taveniny
(protitlak / otáčky skrutky)</t>
  </si>
  <si>
    <t xml:space="preserve">Zabezpečte konštantný (stabilný) cyklus </t>
  </si>
  <si>
    <t>Oneskorenie vstrekovania</t>
  </si>
  <si>
    <t>Zníženie rýchlosti vyhadzovania</t>
  </si>
  <si>
    <t>Vyhadzovanie stlačeným vzduchom</t>
  </si>
  <si>
    <t>Použi separačný prípravok (ak je dovolené)</t>
  </si>
  <si>
    <t>Vstrekovanie počas točenia šneku</t>
  </si>
  <si>
    <t>Vtok / ústie vtoku zväčšiť</t>
  </si>
  <si>
    <t>Vtok / ústie vtoku zmeniť umiestnenie</t>
  </si>
  <si>
    <t>Presunutie vtoku do miesta hrubšej steny dielca</t>
  </si>
  <si>
    <t>Preleštiť ústie vtoku</t>
  </si>
  <si>
    <t>Upravte rádius ústia vtoku</t>
  </si>
  <si>
    <t>Zmenšiť zápichy pre upevnenie vtoku</t>
  </si>
  <si>
    <t>Vyčistiť trysku stroja</t>
  </si>
  <si>
    <t>Skontrolujte tesnosť trysky</t>
  </si>
  <si>
    <t>Skontrolujte priemer otvoru trysky (zväčšiť)</t>
  </si>
  <si>
    <t>Forma - leštenie ostrých hrán</t>
  </si>
  <si>
    <t>Forma - kontrola deliacej roviny</t>
  </si>
  <si>
    <t>Froma - zväčšiť uhol odformovania</t>
  </si>
  <si>
    <t>Forma - čistenie / leštenie</t>
  </si>
  <si>
    <t>Forma - zlepšenie odvzdušnenia formy</t>
  </si>
  <si>
    <t>Rovnomerná hrúbka steny</t>
  </si>
  <si>
    <t>Skontrolujte pozíciu centrovacieho krúžka</t>
  </si>
  <si>
    <t>Sušenie materiálu / kontrola zariadenia</t>
  </si>
  <si>
    <t>Kontrola dávkovacieho zariadenia pre granulát</t>
  </si>
  <si>
    <t>Upchávanie potrubia materiálom 
(napr. PP LGF - dlhé sklenné vlákna)</t>
  </si>
  <si>
    <t>Vyčistenie skrutky / valca</t>
  </si>
  <si>
    <t>Podpora dodávateľa materiálu</t>
  </si>
  <si>
    <t>Upchaté / znečistené dávkovacie zariadenia 
pre granulát</t>
  </si>
  <si>
    <t>Použite pridavn´é zariadenie na sekanie materiálu alebo zmiešavacie zariadenie</t>
  </si>
  <si>
    <t>Použite menší pigment alebo chromofór
(farbivo schopné zafarbiť bezfarebné zlúčeniny)</t>
  </si>
  <si>
    <t>Vytlačte taveninu z valca</t>
  </si>
  <si>
    <t>▲Zvýšenie teploty horúcich kanálov</t>
  </si>
  <si>
    <t>▼Zníženie teploty horúcich kanálov</t>
  </si>
  <si>
    <t>Kontrola poškodenia a znečistenia plastifikačnej
jednotky</t>
  </si>
  <si>
    <t>Skontroluj čas prerušenia chodu stroja / Znížiť 
teplotu valca počas prerušenia výroby</t>
  </si>
  <si>
    <t xml:space="preserve">Grilon BG40FC   </t>
  </si>
  <si>
    <t>Ultramid A3WG10</t>
  </si>
  <si>
    <t>Sondermaterial / Eingabe Dichte</t>
  </si>
  <si>
    <t>Special material / Input density</t>
  </si>
  <si>
    <t>PA66+PA6I/6T GF40</t>
  </si>
  <si>
    <t>PA66+PA6I/6T GF60</t>
  </si>
  <si>
    <t>Grivory HTV 5H1 [PA6T/6I GF50]</t>
  </si>
  <si>
    <t>Grivory HTV 6H1 [PA6T/6I GF60]</t>
  </si>
  <si>
    <t>PA 66 GF45</t>
  </si>
  <si>
    <t xml:space="preserve">Grilon BG45S </t>
  </si>
  <si>
    <t>PTS-Thermoprene</t>
  </si>
  <si>
    <t>Udo</t>
  </si>
  <si>
    <t xml:space="preserve">&lt; input </t>
  </si>
  <si>
    <t/>
  </si>
  <si>
    <t>Einzug</t>
  </si>
  <si>
    <t>Auswahl 1</t>
  </si>
  <si>
    <t>Auswahl 2</t>
  </si>
  <si>
    <t>Auswahl 3</t>
  </si>
  <si>
    <t>Einspritzzeit . Wert  I  Toleranz</t>
  </si>
  <si>
    <t>Injection time . value I tolerance</t>
  </si>
  <si>
    <t>Holding pressure profile  step</t>
  </si>
  <si>
    <t>Nachdruckprofil            Stufe</t>
  </si>
  <si>
    <t>Druck I Zeit</t>
  </si>
  <si>
    <t>pressure I time</t>
  </si>
  <si>
    <t>[determind]</t>
  </si>
  <si>
    <t>[sum up]</t>
  </si>
  <si>
    <t>[gesamt]</t>
  </si>
  <si>
    <t>[ermittelt]</t>
  </si>
  <si>
    <t>Hersteller</t>
  </si>
  <si>
    <t>Manufacturer</t>
  </si>
  <si>
    <t xml:space="preserve">Komponente   </t>
  </si>
  <si>
    <t xml:space="preserve">Component   </t>
  </si>
  <si>
    <t>Angaben zu den einzelnen Komponenten</t>
  </si>
  <si>
    <t>Gesamtzyklus</t>
  </si>
  <si>
    <t xml:space="preserve"> bar </t>
  </si>
  <si>
    <t>Projizierte Fläche der Einzelkomponenten</t>
  </si>
  <si>
    <t>Werkzeugauslegung</t>
  </si>
  <si>
    <t>1+1+1</t>
  </si>
  <si>
    <t>2+2+2</t>
  </si>
  <si>
    <t>4+4+4</t>
  </si>
  <si>
    <t>[1+1] + [1+1] + [1+1]</t>
  </si>
  <si>
    <t>[2+2] + [2+2] + [2+2]</t>
  </si>
  <si>
    <t>[1+1] + [1+1]</t>
  </si>
  <si>
    <t>[2+2] + [2+2]</t>
  </si>
  <si>
    <t>[4+4] + [4+4]</t>
  </si>
  <si>
    <t xml:space="preserve"> g </t>
  </si>
  <si>
    <t>min I max</t>
  </si>
  <si>
    <t>Wert I Toleranz</t>
  </si>
  <si>
    <t>Value I Tolerance</t>
  </si>
  <si>
    <t xml:space="preserve"> °C</t>
  </si>
  <si>
    <t>Heißkanalverteiler</t>
  </si>
  <si>
    <t>Heißkanaldüsen</t>
  </si>
  <si>
    <t>Transfer</t>
  </si>
  <si>
    <t>Core-Back</t>
  </si>
  <si>
    <t>Kernrückzugsverfahren</t>
  </si>
  <si>
    <t>Rotating Index Plate</t>
  </si>
  <si>
    <t>Rotierende Indexplatte</t>
  </si>
  <si>
    <t>Drehteller</t>
  </si>
  <si>
    <t>Rotating Machine Plate</t>
  </si>
  <si>
    <t>FS I BS</t>
  </si>
  <si>
    <t>Vorlauftemperatur eingestellt</t>
  </si>
  <si>
    <t>I</t>
  </si>
  <si>
    <t>Flow temperature adjusted</t>
  </si>
  <si>
    <t>83.O</t>
  </si>
  <si>
    <t>83.U</t>
  </si>
  <si>
    <t>83.AA</t>
  </si>
  <si>
    <t>74.2   Batch</t>
  </si>
  <si>
    <t>Auswahl 2K/3K Technologie</t>
  </si>
  <si>
    <t xml:space="preserve"> Auswahl Batch 3</t>
  </si>
  <si>
    <t xml:space="preserve"> Auswahl Batch 2</t>
  </si>
  <si>
    <t xml:space="preserve"> Auswahl Batch 1</t>
  </si>
  <si>
    <t xml:space="preserve"> Auswahl Dichte 3</t>
  </si>
  <si>
    <t xml:space="preserve"> Auswahl Dichte 2</t>
  </si>
  <si>
    <t xml:space="preserve"> Auswahl Dichte 1</t>
  </si>
  <si>
    <t>Auswahl Kavitäten</t>
  </si>
  <si>
    <t xml:space="preserve"> 12.1</t>
  </si>
  <si>
    <t xml:space="preserve"> 83.M</t>
  </si>
  <si>
    <t xml:space="preserve"> 83.S</t>
  </si>
  <si>
    <t xml:space="preserve"> 83.Y</t>
  </si>
  <si>
    <t>Angaben zur FS [QVP]  I  Prozess Bewertung  I  Prototypen</t>
  </si>
  <si>
    <t>Temperierung</t>
  </si>
  <si>
    <t>Auswahl der 2K- / 3K-Technologie</t>
  </si>
  <si>
    <t>Mold design</t>
  </si>
  <si>
    <t xml:space="preserve">Dizajn formy </t>
  </si>
  <si>
    <t>Details of the invidual components</t>
  </si>
  <si>
    <t>Alle Angaben von Drücken sind spezifisch einzutragen - bitte keine hydraulischen Werte.</t>
  </si>
  <si>
    <t>All pressures must be entered specifically - please do not enter hydraulic values.</t>
  </si>
  <si>
    <t xml:space="preserve">Basis ist die Grundversion des PDS - index 111 </t>
  </si>
  <si>
    <t>Sprachumstellung entspricht ebenfalls der Urdatei, die hier eingefügten Zusätze werden auch in selbiger eingefügt.</t>
  </si>
  <si>
    <t>i111 / i100 (2K)</t>
  </si>
  <si>
    <t>- "Gewicht nachdruckfrei" entfällt hier, dafür neu die "Abfrage Angussgewichte"</t>
  </si>
  <si>
    <t>Angussgewicht je Komponente</t>
  </si>
  <si>
    <t>51.O</t>
  </si>
  <si>
    <t xml:space="preserve"> 51.M</t>
  </si>
  <si>
    <t>51.AA</t>
  </si>
  <si>
    <t xml:space="preserve"> 51.Y</t>
  </si>
  <si>
    <t>51.U</t>
  </si>
  <si>
    <t xml:space="preserve"> 51.S</t>
  </si>
  <si>
    <t>Nachdruckzeit gesamt</t>
  </si>
  <si>
    <t>Holding pressure time sum up</t>
  </si>
  <si>
    <t xml:space="preserve"> I Zeit</t>
  </si>
  <si>
    <t>Prozesstemperaturen</t>
  </si>
  <si>
    <t>Zone</t>
  </si>
  <si>
    <t>Process temperatures</t>
  </si>
  <si>
    <t>Feeding zone</t>
  </si>
  <si>
    <t>Hot runner manifolder</t>
  </si>
  <si>
    <t>Hot runner nozzles</t>
  </si>
  <si>
    <t>Bemerkungen . Ergänzungen</t>
  </si>
  <si>
    <t xml:space="preserve"> 41.M</t>
  </si>
  <si>
    <t xml:space="preserve"> 41.S</t>
  </si>
  <si>
    <t xml:space="preserve"> 41.Y</t>
  </si>
  <si>
    <t>41.AA</t>
  </si>
  <si>
    <t>41.U</t>
  </si>
  <si>
    <t>41.O</t>
  </si>
  <si>
    <t>49.M</t>
  </si>
  <si>
    <t>49.O</t>
  </si>
  <si>
    <t>49.U</t>
  </si>
  <si>
    <t xml:space="preserve"> 49.S</t>
  </si>
  <si>
    <t>49.Y</t>
  </si>
  <si>
    <t>49.AA</t>
  </si>
  <si>
    <t>50.O</t>
  </si>
  <si>
    <t xml:space="preserve"> 50.M</t>
  </si>
  <si>
    <t xml:space="preserve"> 50.S</t>
  </si>
  <si>
    <t xml:space="preserve"> 50.Y</t>
  </si>
  <si>
    <t>50.U</t>
  </si>
  <si>
    <t>50.AA</t>
  </si>
  <si>
    <t xml:space="preserve"> 78.M</t>
  </si>
  <si>
    <t>78.O</t>
  </si>
  <si>
    <t>78.AB</t>
  </si>
  <si>
    <t xml:space="preserve"> 78.Z</t>
  </si>
  <si>
    <t>Abgleich mit Dosierzeit empfohlen.</t>
  </si>
  <si>
    <t xml:space="preserve">Maximal zulässige Restfeuchte </t>
  </si>
  <si>
    <t xml:space="preserve"> 84.M</t>
  </si>
  <si>
    <t xml:space="preserve"> 84.S</t>
  </si>
  <si>
    <t xml:space="preserve"> 84.Y</t>
  </si>
  <si>
    <t>84.AA</t>
  </si>
  <si>
    <t>84.U</t>
  </si>
  <si>
    <t>84.O</t>
  </si>
  <si>
    <t>92.M</t>
  </si>
  <si>
    <t>92.O</t>
  </si>
  <si>
    <t>92.S</t>
  </si>
  <si>
    <t>92.U</t>
  </si>
  <si>
    <t>92.Y</t>
  </si>
  <si>
    <t>92.AA</t>
  </si>
  <si>
    <t>94.M</t>
  </si>
  <si>
    <t>94.S</t>
  </si>
  <si>
    <t>94.Y</t>
  </si>
  <si>
    <t>94.AA</t>
  </si>
  <si>
    <t>94.U</t>
  </si>
  <si>
    <t>94.O</t>
  </si>
  <si>
    <t>98.M</t>
  </si>
  <si>
    <t>98.O</t>
  </si>
  <si>
    <t>98.U</t>
  </si>
  <si>
    <t>98.AA</t>
  </si>
  <si>
    <t>98.Y</t>
  </si>
  <si>
    <t>98.S</t>
  </si>
  <si>
    <t xml:space="preserve"> Auswahl Umschaltpunkt</t>
  </si>
  <si>
    <t xml:space="preserve"> 13.1</t>
  </si>
  <si>
    <t xml:space="preserve"> 16.1</t>
  </si>
  <si>
    <t xml:space="preserve"> 16.2</t>
  </si>
  <si>
    <t xml:space="preserve"> 16.3</t>
  </si>
  <si>
    <t xml:space="preserve"> 39.1</t>
  </si>
  <si>
    <t>110.1</t>
  </si>
  <si>
    <t>Auswahl Simulationssoftware</t>
  </si>
  <si>
    <t>120.1</t>
  </si>
  <si>
    <t>121.1</t>
  </si>
  <si>
    <t>122.1</t>
  </si>
  <si>
    <t>123.1</t>
  </si>
  <si>
    <t>Auswahl Stahl Formaufbau</t>
  </si>
  <si>
    <t>Auswahl Stahl Kavität feste Seite</t>
  </si>
  <si>
    <t>Auswahl Stahl Kavität bewegliche Seite</t>
  </si>
  <si>
    <t>Auswahl Stahl Teileinsätze / Entformelemente</t>
  </si>
  <si>
    <t>Block Auswahlfelder I</t>
  </si>
  <si>
    <t>Block Auswahlfelder II</t>
  </si>
  <si>
    <t xml:space="preserve"> 126.1</t>
  </si>
  <si>
    <t xml:space="preserve"> 126.2</t>
  </si>
  <si>
    <t xml:space="preserve"> 126.3</t>
  </si>
  <si>
    <t xml:space="preserve"> 129.1</t>
  </si>
  <si>
    <t xml:space="preserve"> 129.2</t>
  </si>
  <si>
    <t xml:space="preserve"> 129.3</t>
  </si>
  <si>
    <t xml:space="preserve"> 132.1</t>
  </si>
  <si>
    <t xml:space="preserve"> 136.1</t>
  </si>
  <si>
    <t xml:space="preserve"> 136.2</t>
  </si>
  <si>
    <t xml:space="preserve"> 136.3</t>
  </si>
  <si>
    <t xml:space="preserve"> 132.2</t>
  </si>
  <si>
    <t xml:space="preserve"> 132.3</t>
  </si>
  <si>
    <t>155.1</t>
  </si>
  <si>
    <t>Auswahl Bauteilentnahme</t>
  </si>
  <si>
    <t>Auswahl Anbindung 1</t>
  </si>
  <si>
    <t>Auswahl Anbindung 2</t>
  </si>
  <si>
    <t>Auswahl Anbindung 3</t>
  </si>
  <si>
    <t>Auswahl Düsentyp 1</t>
  </si>
  <si>
    <t>Auswahl Düsentyp 2</t>
  </si>
  <si>
    <t>Auswahl Düsentyp 3</t>
  </si>
  <si>
    <t>Auswahl Kaltkanalauslegung 1</t>
  </si>
  <si>
    <t>Auswahl Kaltkanalauslegung 2</t>
  </si>
  <si>
    <t>Auswahl Kaltkanalauslegung 3</t>
  </si>
  <si>
    <t>Auswahl Angussart 1</t>
  </si>
  <si>
    <t>Auswahl Angussart 2</t>
  </si>
  <si>
    <t>Auswahl Angussart 3</t>
  </si>
  <si>
    <t>120.Z</t>
  </si>
  <si>
    <t>121.Z</t>
  </si>
  <si>
    <t>122.Z</t>
  </si>
  <si>
    <t>123.Z</t>
  </si>
  <si>
    <t>120.AB</t>
  </si>
  <si>
    <t>121.AB</t>
  </si>
  <si>
    <t>122.AB</t>
  </si>
  <si>
    <t>123.AB</t>
  </si>
  <si>
    <t>141.N</t>
  </si>
  <si>
    <t>141.L</t>
  </si>
  <si>
    <t>141.Z</t>
  </si>
  <si>
    <t>141.AB</t>
  </si>
  <si>
    <t>143.AB</t>
  </si>
  <si>
    <t>143.Z</t>
  </si>
  <si>
    <t>144.Z</t>
  </si>
  <si>
    <t>144.AB</t>
  </si>
  <si>
    <t>151.AB</t>
  </si>
  <si>
    <t>151.Z</t>
  </si>
  <si>
    <t>147.L</t>
  </si>
  <si>
    <t>150.L</t>
  </si>
  <si>
    <t>147.N</t>
  </si>
  <si>
    <t>150.N</t>
  </si>
  <si>
    <t>155.Z</t>
  </si>
  <si>
    <t>155.AB</t>
  </si>
  <si>
    <t>156.Z</t>
  </si>
  <si>
    <t>155.N</t>
  </si>
  <si>
    <t>156.L</t>
  </si>
  <si>
    <t>158.L</t>
  </si>
  <si>
    <t>158.N</t>
  </si>
  <si>
    <t>158.Z</t>
  </si>
  <si>
    <t>158.AB</t>
  </si>
  <si>
    <t>159.AB</t>
  </si>
  <si>
    <t>159.Z</t>
  </si>
  <si>
    <t>Cycle time sum-up</t>
  </si>
  <si>
    <t>Select here 2k / 3K technology</t>
  </si>
  <si>
    <t>Parameterblatt - Spritzgießen</t>
  </si>
  <si>
    <t>Parameter Sheet - Injection Molding</t>
  </si>
  <si>
    <t xml:space="preserve"> I time</t>
  </si>
  <si>
    <t>Bitte kurz erläutern:</t>
  </si>
  <si>
    <t>Please explain shortly:</t>
  </si>
  <si>
    <t>Projected surface - single components</t>
  </si>
  <si>
    <t>Sprue weight per component</t>
  </si>
  <si>
    <t>Remarks . Additionals</t>
  </si>
  <si>
    <t>Temperature Control</t>
  </si>
  <si>
    <t>Material Supply</t>
  </si>
  <si>
    <t>Gating System</t>
  </si>
  <si>
    <t>Maximum permissible residual moisture</t>
  </si>
  <si>
    <t>Adjustment with dosing time recommended.</t>
  </si>
  <si>
    <t>Düsendurchmesser  [innen]</t>
  </si>
  <si>
    <t>Index 100</t>
  </si>
  <si>
    <r>
      <t>min</t>
    </r>
    <r>
      <rPr>
        <vertAlign val="superscript"/>
        <sz val="10"/>
        <color theme="1"/>
        <rFont val="Univers"/>
        <family val="2"/>
      </rPr>
      <t>-1</t>
    </r>
  </si>
  <si>
    <r>
      <t xml:space="preserve">kW  </t>
    </r>
    <r>
      <rPr>
        <sz val="9"/>
        <color theme="0" tint="-0.34998626667073579"/>
        <rFont val="Univers"/>
        <family val="2"/>
      </rPr>
      <t>I</t>
    </r>
    <r>
      <rPr>
        <sz val="9"/>
        <rFont val="Univers"/>
        <family val="2"/>
      </rPr>
      <t xml:space="preserve">  l/min  </t>
    </r>
    <r>
      <rPr>
        <sz val="9"/>
        <color theme="0" tint="-0.34998626667073579"/>
        <rFont val="Univers"/>
        <family val="2"/>
      </rPr>
      <t>I</t>
    </r>
    <r>
      <rPr>
        <sz val="9"/>
        <rFont val="Univers"/>
        <family val="2"/>
      </rPr>
      <t xml:space="preserve">  bar</t>
    </r>
  </si>
  <si>
    <t xml:space="preserve"> g/cm³</t>
  </si>
  <si>
    <t>Index 101</t>
  </si>
  <si>
    <t>i111</t>
  </si>
  <si>
    <t>Hier wird nur die rechten Blatthälfte: "Auswertungsbereich"umgestellt. Die Übernahme aus dem Parameterdatenblatt erfolgt in der hier voreingestellten Sprache.</t>
  </si>
  <si>
    <t>Here, only the right half of the sheet: "Evaluation area" is changed. The transfer from the parameter data sheet takes place in the language preset here.</t>
  </si>
  <si>
    <t>Übernahme Parameterdatenblatt</t>
  </si>
  <si>
    <t>Transfer parameter data sheet</t>
  </si>
  <si>
    <t>PDS</t>
  </si>
  <si>
    <t>Eingabe</t>
  </si>
  <si>
    <t>Input</t>
  </si>
  <si>
    <t>Auswertungsbereich</t>
  </si>
  <si>
    <t>Evaluation area</t>
  </si>
  <si>
    <t>Im rechten Bereich der Auswertung sind links (graue Felder) die Eingaben aus dem PDS selbst abgebildet, rechts (gelbe Felder) können eigene Werte zur Überprüfung von Optimierungsansätzen eingesetzt werden.</t>
  </si>
  <si>
    <t>In the right-hand area of the evaluation, the inputs from the PDS itself are shown on the left (grey fields); on the right (yellow fields), your own values can be used to check optimisation approaches.</t>
  </si>
  <si>
    <t>Auf der rechten Seite des Blattes werden werden verschiedene Berechnungen zur Überprüfung der Angaben aus dem PDS bzw. der Werte aus der eigenen Eingabe durchgeführt. 
Bei einigen ist eine Ampel beigefügt, die eine einfache Bewertung der Ergebnisse ermöglicht und so auf mögliche Risiken oder Optimierungsansätze hinweist.
Diese kann aber eine eingehende Bewertung durch den Technologen nicht ersetzen.</t>
  </si>
  <si>
    <t>On the right side of the sheet, various calculations are made to check the information from the PDS or the values from your own input. 
For some of them a traffic light is included, which allows a simple evaluation of the results and thus indicates risks or options for optimization .
However, this cannot replace a detailed assessment by the technologist.</t>
  </si>
  <si>
    <t>Bitte die maximale Schneckendrehzahl / Umfangsgeschwindigkeit überprüfen Das Blatt rechnet mit einem Näherungswert von 0,6 m/s, es gibt allerdings Aggregate mit höheren Maximalwerten.</t>
  </si>
  <si>
    <t>Please check the maximum screw speed / circumferential speed The formula here is calculating with an approximate value of 0.6 m/s, but there are injection units with higher maximum values in the market.</t>
  </si>
  <si>
    <t>Wieviel Prozent des Schussgewichtes werden zugemischt?</t>
  </si>
  <si>
    <t>Einbau der Auswertung - je Komponente ein Reiter</t>
  </si>
  <si>
    <t>2.1 &gt; Komponente 1</t>
  </si>
  <si>
    <t>2.3 &gt; Komponente 3</t>
  </si>
  <si>
    <t>2.2 &gt; Komponente 2</t>
  </si>
  <si>
    <t>Funktionalität / Aufbau folgt dem Basis PDS</t>
  </si>
  <si>
    <t xml:space="preserve">BROSE INTERN . Prozess Analyse </t>
  </si>
  <si>
    <t>BROSE INTERN . Process analysis</t>
  </si>
  <si>
    <t>Nozzle Diamater [inner]</t>
  </si>
  <si>
    <t>index</t>
  </si>
  <si>
    <t>s</t>
  </si>
  <si>
    <t>Evaluation Area</t>
  </si>
  <si>
    <t>i112 / i101 (2K)</t>
  </si>
  <si>
    <t xml:space="preserve">[mm] </t>
  </si>
  <si>
    <t xml:space="preserve">[xD] </t>
  </si>
  <si>
    <t xml:space="preserve">[%] </t>
  </si>
  <si>
    <t xml:space="preserve">[cm³] </t>
  </si>
  <si>
    <t xml:space="preserve">[s] </t>
  </si>
  <si>
    <t xml:space="preserve">[mm/s] </t>
  </si>
  <si>
    <t xml:space="preserve">[kN] </t>
  </si>
  <si>
    <t xml:space="preserve">[cm²] </t>
  </si>
  <si>
    <t xml:space="preserve">[/1] </t>
  </si>
  <si>
    <t xml:space="preserve">[g/s] </t>
  </si>
  <si>
    <t xml:space="preserve">[min] </t>
  </si>
  <si>
    <t>[s]</t>
  </si>
  <si>
    <t xml:space="preserve">[+/-] </t>
  </si>
  <si>
    <t xml:space="preserve">[bar] </t>
  </si>
  <si>
    <t>[mm]</t>
  </si>
  <si>
    <t>[bar]</t>
  </si>
  <si>
    <t xml:space="preserve">[m/s] </t>
  </si>
  <si>
    <t xml:space="preserve">[g/cm³] </t>
  </si>
  <si>
    <t xml:space="preserve">[g] </t>
  </si>
  <si>
    <t>min</t>
  </si>
  <si>
    <t>max</t>
  </si>
  <si>
    <t>*2</t>
  </si>
  <si>
    <t>&lt; Druckbereich</t>
  </si>
  <si>
    <t>Toleranzgrenzen der Auswertung</t>
  </si>
  <si>
    <t>(tolerances of the examination)</t>
  </si>
  <si>
    <r>
      <t xml:space="preserve"> green: ≥ 1 to  ≤ 3</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t>
    </r>
    <r>
      <rPr>
        <sz val="14"/>
        <rFont val="Bahnschrift SemiLight SemiConde"/>
        <family val="2"/>
      </rPr>
      <t xml:space="preserve"> </t>
    </r>
    <r>
      <rPr>
        <sz val="14"/>
        <color indexed="10"/>
        <rFont val="Bahnschrift SemiLight SemiConde"/>
        <family val="2"/>
      </rPr>
      <t>red: &lt; 0,8  or  ≥ 3,3</t>
    </r>
  </si>
  <si>
    <r>
      <t xml:space="preserve"> green: ≥ 25  to ≤ 75 </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 xml:space="preserve"> /</t>
    </r>
    <r>
      <rPr>
        <sz val="14"/>
        <rFont val="Bahnschrift SemiLight SemiConde"/>
        <family val="2"/>
      </rPr>
      <t xml:space="preserve"> </t>
    </r>
    <r>
      <rPr>
        <sz val="14"/>
        <color indexed="10"/>
        <rFont val="Bahnschrift SemiLight SemiConde"/>
        <family val="2"/>
      </rPr>
      <t>red: &lt; 20  or  &gt; 75</t>
    </r>
  </si>
  <si>
    <r>
      <t xml:space="preserve"> green: ≤ 3  to  ≤ 6</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t>
    </r>
    <r>
      <rPr>
        <sz val="14"/>
        <rFont val="Bahnschrift SemiLight SemiConde"/>
        <family val="2"/>
      </rPr>
      <t xml:space="preserve"> </t>
    </r>
    <r>
      <rPr>
        <sz val="14"/>
        <color indexed="10"/>
        <rFont val="Bahnschrift SemiLight SemiConde"/>
        <family val="2"/>
      </rPr>
      <t>red:  &gt; 10</t>
    </r>
  </si>
  <si>
    <t xml:space="preserve"> red:  ≤ 0</t>
  </si>
  <si>
    <r>
      <t xml:space="preserve"> green:  ≤ 2</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t>
    </r>
    <r>
      <rPr>
        <sz val="14"/>
        <rFont val="Bahnschrift SemiLight SemiConde"/>
        <family val="2"/>
      </rPr>
      <t xml:space="preserve"> </t>
    </r>
    <r>
      <rPr>
        <sz val="14"/>
        <color indexed="10"/>
        <rFont val="Bahnschrift SemiLight SemiConde"/>
        <family val="2"/>
      </rPr>
      <t>red:  ≤ 0</t>
    </r>
  </si>
  <si>
    <r>
      <t xml:space="preserve"> green: &gt; 0  to  ≤ 3</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t>
    </r>
    <r>
      <rPr>
        <sz val="14"/>
        <rFont val="Bahnschrift SemiLight SemiConde"/>
        <family val="2"/>
      </rPr>
      <t xml:space="preserve"> </t>
    </r>
    <r>
      <rPr>
        <sz val="14"/>
        <color indexed="10"/>
        <rFont val="Bahnschrift SemiLight SemiConde"/>
        <family val="2"/>
      </rPr>
      <t>red: &gt; 3</t>
    </r>
  </si>
  <si>
    <r>
      <t xml:space="preserve"> green:  &lt; 3</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t>
    </r>
    <r>
      <rPr>
        <sz val="14"/>
        <rFont val="Bahnschrift SemiLight SemiConde"/>
        <family val="2"/>
      </rPr>
      <t xml:space="preserve"> </t>
    </r>
    <r>
      <rPr>
        <sz val="14"/>
        <color indexed="10"/>
        <rFont val="Bahnschrift SemiLight SemiConde"/>
        <family val="2"/>
      </rPr>
      <t>red: &gt; 5</t>
    </r>
  </si>
  <si>
    <r>
      <t xml:space="preserve"> green:  &lt; 5</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t>
    </r>
    <r>
      <rPr>
        <sz val="14"/>
        <rFont val="Bahnschrift SemiLight SemiConde"/>
        <family val="2"/>
      </rPr>
      <t xml:space="preserve"> </t>
    </r>
    <r>
      <rPr>
        <sz val="14"/>
        <color indexed="10"/>
        <rFont val="Bahnschrift SemiLight SemiConde"/>
        <family val="2"/>
      </rPr>
      <t>red: &gt; 10</t>
    </r>
  </si>
  <si>
    <r>
      <t xml:space="preserve"> green:  ≤ adjusted / eingestellt</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 xml:space="preserve">/ </t>
    </r>
    <r>
      <rPr>
        <sz val="14"/>
        <rFont val="Bahnschrift SemiLight SemiConde"/>
        <family val="2"/>
      </rPr>
      <t xml:space="preserve"> </t>
    </r>
    <r>
      <rPr>
        <sz val="14"/>
        <color indexed="10"/>
        <rFont val="Bahnschrift SemiLight SemiConde"/>
        <family val="2"/>
      </rPr>
      <t>red:  &gt; max value</t>
    </r>
  </si>
  <si>
    <r>
      <t xml:space="preserve"> green:  ≤ 100 (adjusted/eingestellt)</t>
    </r>
    <r>
      <rPr>
        <sz val="14"/>
        <rFont val="Bahnschrift SemiLight SemiConde"/>
        <family val="2"/>
      </rPr>
      <t xml:space="preserve"> / </t>
    </r>
    <r>
      <rPr>
        <sz val="14"/>
        <color indexed="52"/>
        <rFont val="Bahnschrift SemiLight SemiConde"/>
        <family val="2"/>
      </rPr>
      <t xml:space="preserve">   yellow   </t>
    </r>
    <r>
      <rPr>
        <sz val="14"/>
        <color indexed="8"/>
        <rFont val="Bahnschrift SemiLight SemiConde"/>
        <family val="2"/>
      </rPr>
      <t xml:space="preserve">/ </t>
    </r>
    <r>
      <rPr>
        <sz val="14"/>
        <rFont val="Bahnschrift SemiLight SemiConde"/>
        <family val="2"/>
      </rPr>
      <t xml:space="preserve"> </t>
    </r>
    <r>
      <rPr>
        <sz val="14"/>
        <color indexed="10"/>
        <rFont val="Bahnschrift SemiLight SemiConde"/>
        <family val="2"/>
      </rPr>
      <t>red:  &gt; 100 (max)</t>
    </r>
  </si>
  <si>
    <r>
      <t xml:space="preserve"> green:  ≤ 100 (max)</t>
    </r>
    <r>
      <rPr>
        <sz val="14"/>
        <rFont val="Bahnschrift SemiLight SemiConde"/>
        <family val="2"/>
      </rPr>
      <t xml:space="preserve"> /   </t>
    </r>
    <r>
      <rPr>
        <sz val="14"/>
        <color indexed="52"/>
        <rFont val="Bahnschrift SemiLight SemiConde"/>
        <family val="2"/>
      </rPr>
      <t xml:space="preserve">yellow   </t>
    </r>
    <r>
      <rPr>
        <sz val="14"/>
        <color indexed="8"/>
        <rFont val="Bahnschrift SemiLight SemiConde"/>
        <family val="2"/>
      </rPr>
      <t xml:space="preserve">/ </t>
    </r>
    <r>
      <rPr>
        <sz val="14"/>
        <rFont val="Bahnschrift SemiLight SemiConde"/>
        <family val="2"/>
      </rPr>
      <t xml:space="preserve"> </t>
    </r>
    <r>
      <rPr>
        <sz val="14"/>
        <color indexed="10"/>
        <rFont val="Bahnschrift SemiLight SemiConde"/>
        <family val="2"/>
      </rPr>
      <t>red: &gt; 100 (max)</t>
    </r>
  </si>
  <si>
    <t xml:space="preserve"> [kN]</t>
  </si>
  <si>
    <t xml:space="preserve"> [cm²]</t>
  </si>
  <si>
    <t xml:space="preserve"> [mm]</t>
  </si>
  <si>
    <t xml:space="preserve"> [/1]</t>
  </si>
  <si>
    <t xml:space="preserve"> [g/s]</t>
  </si>
  <si>
    <t xml:space="preserve"> [cm³]</t>
  </si>
  <si>
    <t xml:space="preserve"> [s]</t>
  </si>
  <si>
    <t>Auswahlliste</t>
  </si>
  <si>
    <t xml:space="preserve">[U/min] </t>
  </si>
  <si>
    <t xml:space="preserve">Basis für Berechnung  </t>
  </si>
  <si>
    <t xml:space="preserve">Info  </t>
  </si>
  <si>
    <t xml:space="preserve">calculation base  </t>
  </si>
  <si>
    <t xml:space="preserve">info  </t>
  </si>
  <si>
    <t xml:space="preserve"> [bar]</t>
  </si>
  <si>
    <t xml:space="preserve"> [g/cm³]</t>
  </si>
  <si>
    <t xml:space="preserve"> [g]</t>
  </si>
  <si>
    <r>
      <t xml:space="preserve"> [min</t>
    </r>
    <r>
      <rPr>
        <vertAlign val="superscript"/>
        <sz val="11"/>
        <color theme="0" tint="-0.499984740745262"/>
        <rFont val="Bahnschrift SemiLight SemiConde"/>
        <family val="2"/>
      </rPr>
      <t>-1</t>
    </r>
    <r>
      <rPr>
        <sz val="11"/>
        <color theme="0" tint="-0.499984740745262"/>
        <rFont val="Bahnschrift SemiLight SemiConde"/>
        <family val="2"/>
      </rPr>
      <t>]</t>
    </r>
  </si>
  <si>
    <t>Berechnung für 2K / 3K Variante nicht umgesetzt</t>
  </si>
  <si>
    <t>Eingabe optional</t>
  </si>
  <si>
    <t xml:space="preserve">L. zu D. Verhältnis Schnecke </t>
  </si>
  <si>
    <t>screw: lengh / diameter ratio</t>
  </si>
  <si>
    <t>max. Plastifizierstrom Maschine</t>
  </si>
  <si>
    <t>max. machine plastification rate</t>
  </si>
  <si>
    <t>Nachdruckzeit (gesamt)</t>
  </si>
  <si>
    <t>pack / hold pressure time (sum-up)</t>
  </si>
  <si>
    <t>Nachdruck (max)</t>
  </si>
  <si>
    <t>pack / hold pressure (max)</t>
  </si>
  <si>
    <t>Schmelzedichte (Auswahl)</t>
  </si>
  <si>
    <t>melt denity (by selection)</t>
  </si>
  <si>
    <t>Schussgewicht inkl. Anguss</t>
  </si>
  <si>
    <t>shot weight incl. cold runner</t>
  </si>
  <si>
    <t>Teilegewicht ohne Nachdruck</t>
  </si>
  <si>
    <t>part weight without holding pressure</t>
  </si>
  <si>
    <t>Teilegewicht mit Nachdruck</t>
  </si>
  <si>
    <t>part weight with holding pressure</t>
  </si>
  <si>
    <t>Maximal möglicher Spritzdruck</t>
  </si>
  <si>
    <t xml:space="preserve">maximum injection pressure </t>
  </si>
  <si>
    <t>Zuschlag auf Zuhaltung</t>
  </si>
  <si>
    <t>add on load…</t>
  </si>
  <si>
    <t>K1</t>
  </si>
  <si>
    <t>KOMPONENTE:</t>
  </si>
  <si>
    <t xml:space="preserve">COMPONENT:  </t>
  </si>
  <si>
    <t>Hinweis: Verweilzeitberechung hier unter Berücksichtigung des L/D Verhältnisses</t>
  </si>
  <si>
    <t>Note: Dwell time calculation here taking into account the L/D ratio</t>
  </si>
  <si>
    <t xml:space="preserve"> green:  ≤ 95  to  ≥ 99  /    yellow     / red: &lt; 90  or  &gt; 99</t>
  </si>
  <si>
    <t>K2</t>
  </si>
  <si>
    <t>inklusive Komponente 1</t>
  </si>
  <si>
    <t>K3</t>
  </si>
  <si>
    <t>inklusive Komponente 1 &amp; 2</t>
  </si>
  <si>
    <t>2.1</t>
  </si>
  <si>
    <t>2.2</t>
  </si>
  <si>
    <t>2.3</t>
  </si>
  <si>
    <t xml:space="preserve"> 1</t>
  </si>
  <si>
    <t xml:space="preserve"> 2</t>
  </si>
  <si>
    <t xml:space="preserve"> 3</t>
  </si>
  <si>
    <t xml:space="preserve"> 4</t>
  </si>
  <si>
    <t xml:space="preserve"> 5</t>
  </si>
  <si>
    <t>Index</t>
  </si>
  <si>
    <t>Bitte Angaben zum Bearbeiter ergänzen. Hinweis: Wird dieses Dokument über die Online-FS Anwendung im Extranet an Brose gesendet, ist keine Unterschrift erforderlich!</t>
  </si>
  <si>
    <t>Please fill in information about the issuing person. Note: No signature required, if this document is sent to Brose via the Online-FS application in Extranet!</t>
  </si>
  <si>
    <t>Uveďťe kontaktnú osobu (Note: No signature required, if this document is sent to Brose via the Online-FS application in Extranet!)</t>
  </si>
  <si>
    <t>Zusätzliche Angaben bitte gesondert übermitteln.</t>
  </si>
  <si>
    <t>Please submit additional information separately.</t>
  </si>
  <si>
    <t>Slovenská</t>
  </si>
  <si>
    <t>Overview</t>
  </si>
  <si>
    <t>Bauteil I Teilenummer I Zeichnungsnummer</t>
  </si>
  <si>
    <t>Part Name I Part Number I Drawing Number</t>
  </si>
  <si>
    <t>39 1.2.3   Regelung nach</t>
  </si>
  <si>
    <t>Angaben zur Maschine und den Fertigungsparametern</t>
  </si>
  <si>
    <t>Details of the machine and production parameters</t>
  </si>
  <si>
    <t>Gate</t>
  </si>
  <si>
    <t>i113 i102_2K</t>
  </si>
  <si>
    <t>Einspritzzeit (siehe "Prozessüberwachung")</t>
  </si>
  <si>
    <t>Injection time (look at "process monitoring")</t>
  </si>
  <si>
    <t>Massepolster (siehe "Prozessüberwachung")</t>
  </si>
  <si>
    <t>Melt cushion (look at "process monitoring")</t>
  </si>
  <si>
    <t>siehe oben</t>
  </si>
  <si>
    <t>12   Technik</t>
  </si>
  <si>
    <t>13   WZ-Auslegung</t>
  </si>
  <si>
    <t>126   Abindung</t>
  </si>
  <si>
    <t>129   Düsenart</t>
  </si>
  <si>
    <t>136   Angaben zum Kaltkanal</t>
  </si>
  <si>
    <t xml:space="preserve">Neben den Vorgaben aus der Kunststoffdachnorm BN 568923-xxx, sind alle in der Zeichnung aufgeführten Normen zu berücksichtigen und entsprechend bei der Prozessführung bzw. Bemusterung einzuhalten. </t>
  </si>
  <si>
    <t>Prozessüberwachung erfolgt über folgende Parameter: 
hier bitte entsprechnede Auswahl treffen, die geplanten bzw. eingestellten Toleranzen eintragen und im Rahmen der FS mit Brose abstimmen bzw. zur Prozessfreigabe abgleichen.</t>
  </si>
  <si>
    <t>Process monitoring is carried out via the following parameters: 
Please make the appropriate selection here, enter the planned or set tolerances and coordinate them with Brose as part of the FS or adjust them for process approval.</t>
  </si>
  <si>
    <t xml:space="preserve">In addition to the specifications from the base standard BN 568923-xxx for plastic parts, all standards listed in the drawing must be taken into account and complied with accordingly during process control, sampling or PPAP. </t>
  </si>
  <si>
    <t>121.L</t>
  </si>
  <si>
    <t>122.L</t>
  </si>
  <si>
    <t>122.N</t>
  </si>
  <si>
    <t>121.N</t>
  </si>
  <si>
    <t>Mischungsanteil bei Einsatz von Mahlgut</t>
  </si>
  <si>
    <t>Mixing ratio when using regrind material</t>
  </si>
  <si>
    <t>i102_2K</t>
  </si>
  <si>
    <t>Erfolgt die Prozessüberwachung über die Fließzahl [Einspritzarbeit] über Forminnendrucksensor oder ist Ihre Vorgehensweise hier nicht abbildbar, sind  nötigen Zusatzinformationen (wie beispielsweise die Druckkurven) separat bereitzustellen.</t>
  </si>
  <si>
    <t>If the process is monitored via the flow rate [injection work] using the cavity pressure sensor, or if your procedure cannot be mapped here, the necessary additional information (such as the pressure curves) must be provided separately.</t>
  </si>
  <si>
    <t>Dosierzeit (Ist-Wert)</t>
  </si>
  <si>
    <t>Plasticizing time (real value)</t>
  </si>
  <si>
    <t>Einspritzzeit</t>
  </si>
  <si>
    <t xml:space="preserve">Injection time </t>
  </si>
  <si>
    <t>Einspritzdruck (Ist-Wert)</t>
  </si>
  <si>
    <t>Injection pressure (real value)</t>
  </si>
  <si>
    <t>Umschaltdruck</t>
  </si>
  <si>
    <t>Pressure at the Switch-Over-Point</t>
  </si>
  <si>
    <t>Umschaltpunkt</t>
  </si>
  <si>
    <t>Switch-Over-Point</t>
  </si>
  <si>
    <t>Massepolster</t>
  </si>
  <si>
    <t>Melt Cushion</t>
  </si>
  <si>
    <t>Cycletime</t>
  </si>
  <si>
    <t>Fließzahl (Einspritzarbeit)</t>
  </si>
  <si>
    <t>*±</t>
  </si>
  <si>
    <t>" s"</t>
  </si>
  <si>
    <t>" bar"</t>
  </si>
  <si>
    <t>3;4;9</t>
  </si>
  <si>
    <t>5;6</t>
  </si>
  <si>
    <t>Anteil I Zugabe über</t>
  </si>
  <si>
    <t>% batch I feeding by</t>
  </si>
  <si>
    <t>Z B2</t>
  </si>
  <si>
    <t>Z B9</t>
  </si>
  <si>
    <t>Z B10</t>
  </si>
  <si>
    <t>Z B13</t>
  </si>
  <si>
    <t>Z B14</t>
  </si>
  <si>
    <t>Z B3</t>
  </si>
  <si>
    <t>Z B4</t>
  </si>
  <si>
    <t>Z B5</t>
  </si>
  <si>
    <t>Z B6</t>
  </si>
  <si>
    <t>Z B7</t>
  </si>
  <si>
    <t>Z B8</t>
  </si>
  <si>
    <t>Z B11</t>
  </si>
  <si>
    <t>Z B12</t>
  </si>
  <si>
    <t>Z B15</t>
  </si>
  <si>
    <t>Z B16</t>
  </si>
  <si>
    <t>Z B17</t>
  </si>
  <si>
    <t>Z B18</t>
  </si>
  <si>
    <t>Z B19</t>
  </si>
  <si>
    <t>Z B20</t>
  </si>
  <si>
    <t>Z B21</t>
  </si>
  <si>
    <t>Z B22</t>
  </si>
  <si>
    <t>Z B23</t>
  </si>
  <si>
    <t>Z B24</t>
  </si>
  <si>
    <t>Z B25</t>
  </si>
  <si>
    <t>Z B26</t>
  </si>
  <si>
    <t>Z B27</t>
  </si>
  <si>
    <t>Z B28</t>
  </si>
  <si>
    <t>Z B29</t>
  </si>
  <si>
    <t>Z B30</t>
  </si>
  <si>
    <t>Z B31</t>
  </si>
  <si>
    <t>Z B32</t>
  </si>
  <si>
    <t>Z B33</t>
  </si>
  <si>
    <t>Z B34</t>
  </si>
  <si>
    <t>Z B35</t>
  </si>
  <si>
    <t>Z B36</t>
  </si>
  <si>
    <t>Z B37</t>
  </si>
  <si>
    <t>Z B38</t>
  </si>
  <si>
    <t>Z B39</t>
  </si>
  <si>
    <t>Z B40</t>
  </si>
  <si>
    <t>Z B41</t>
  </si>
  <si>
    <t>Z B42</t>
  </si>
  <si>
    <t>Z B43</t>
  </si>
  <si>
    <t>Z B44</t>
  </si>
  <si>
    <t>Z B45</t>
  </si>
  <si>
    <t>Z B46</t>
  </si>
  <si>
    <t>Z B47</t>
  </si>
  <si>
    <t>Z B48</t>
  </si>
  <si>
    <t>Z B49</t>
  </si>
  <si>
    <t>Z B50</t>
  </si>
  <si>
    <t>Z B51</t>
  </si>
  <si>
    <t>Z B52</t>
  </si>
  <si>
    <t>Z B53</t>
  </si>
  <si>
    <t>Z B54</t>
  </si>
  <si>
    <t>Z B55</t>
  </si>
  <si>
    <t>Z B56</t>
  </si>
  <si>
    <t>Z B57</t>
  </si>
  <si>
    <t>Z B58</t>
  </si>
  <si>
    <t>Z B59</t>
  </si>
  <si>
    <t>Z B60</t>
  </si>
  <si>
    <t>Z B61</t>
  </si>
  <si>
    <t>Z B62</t>
  </si>
  <si>
    <t>Z B63</t>
  </si>
  <si>
    <t>Z B64</t>
  </si>
  <si>
    <t>Z B65</t>
  </si>
  <si>
    <t>Z B66</t>
  </si>
  <si>
    <t>Z B67</t>
  </si>
  <si>
    <t>Z B68</t>
  </si>
  <si>
    <t>Z B69</t>
  </si>
  <si>
    <t>Z B70</t>
  </si>
  <si>
    <t>Z B71</t>
  </si>
  <si>
    <t>Z B72</t>
  </si>
  <si>
    <t>Z B73</t>
  </si>
  <si>
    <t>Z B74</t>
  </si>
  <si>
    <t>Z B75</t>
  </si>
  <si>
    <t>Z B76</t>
  </si>
  <si>
    <t>Z B77</t>
  </si>
  <si>
    <t>Z B78</t>
  </si>
  <si>
    <t>Z B79</t>
  </si>
  <si>
    <t>Z B80</t>
  </si>
  <si>
    <t>Z B81</t>
  </si>
  <si>
    <t>Z B82</t>
  </si>
  <si>
    <t>Z B83</t>
  </si>
  <si>
    <t>Z B84</t>
  </si>
  <si>
    <t>Z B85</t>
  </si>
  <si>
    <t>Z B86</t>
  </si>
  <si>
    <t>Z B87</t>
  </si>
  <si>
    <t>Z B88</t>
  </si>
  <si>
    <t>Z B89</t>
  </si>
  <si>
    <t>Z B90</t>
  </si>
  <si>
    <t>Z B91</t>
  </si>
  <si>
    <t>Z B92</t>
  </si>
  <si>
    <t>Z B93</t>
  </si>
  <si>
    <t>Z B94</t>
  </si>
  <si>
    <t>Z B95</t>
  </si>
  <si>
    <t>Z B96</t>
  </si>
  <si>
    <t>Z B97</t>
  </si>
  <si>
    <t>Z B98</t>
  </si>
  <si>
    <t>Z B99</t>
  </si>
  <si>
    <t>Z B100</t>
  </si>
  <si>
    <t>Z B101</t>
  </si>
  <si>
    <t>Z B102</t>
  </si>
  <si>
    <t>Z B103</t>
  </si>
  <si>
    <t>Z B104</t>
  </si>
  <si>
    <t>Z B105</t>
  </si>
  <si>
    <t>Z B106</t>
  </si>
  <si>
    <t>Z B107</t>
  </si>
  <si>
    <t>Z B108</t>
  </si>
  <si>
    <t>Z B109</t>
  </si>
  <si>
    <t>Z B110</t>
  </si>
  <si>
    <t>Z B111</t>
  </si>
  <si>
    <t>Z B112</t>
  </si>
  <si>
    <t>Z B113</t>
  </si>
  <si>
    <t>Z B114</t>
  </si>
  <si>
    <t>Z B115</t>
  </si>
  <si>
    <t>Z B116</t>
  </si>
  <si>
    <t>Z B117</t>
  </si>
  <si>
    <t>Z B118</t>
  </si>
  <si>
    <t>Z B119</t>
  </si>
  <si>
    <t>Z B120</t>
  </si>
  <si>
    <t>Z B121</t>
  </si>
  <si>
    <t>Z B122</t>
  </si>
  <si>
    <t>Z B123</t>
  </si>
  <si>
    <t>Z B124</t>
  </si>
  <si>
    <t>Z B125</t>
  </si>
  <si>
    <t>Z B126</t>
  </si>
  <si>
    <t>Z B127</t>
  </si>
  <si>
    <t>Z B128</t>
  </si>
  <si>
    <t>Z B129</t>
  </si>
  <si>
    <t>Z B130</t>
  </si>
  <si>
    <t>Z B131</t>
  </si>
  <si>
    <t>Z B132</t>
  </si>
  <si>
    <t>Z B133</t>
  </si>
  <si>
    <t>Z B134</t>
  </si>
  <si>
    <t>Z B135</t>
  </si>
  <si>
    <t>Z B136</t>
  </si>
  <si>
    <t>Z B137</t>
  </si>
  <si>
    <t>Z B138</t>
  </si>
  <si>
    <t>Z B139</t>
  </si>
  <si>
    <t>Z B140</t>
  </si>
  <si>
    <t>Z B141</t>
  </si>
  <si>
    <t>Z B142</t>
  </si>
  <si>
    <t>Z B143</t>
  </si>
  <si>
    <t>Z B144</t>
  </si>
  <si>
    <t>Z B145</t>
  </si>
  <si>
    <t>Z B146</t>
  </si>
  <si>
    <t>Z B147</t>
  </si>
  <si>
    <t>Z B148</t>
  </si>
  <si>
    <t>Z B149</t>
  </si>
  <si>
    <t>Z B150</t>
  </si>
  <si>
    <t>Z B151</t>
  </si>
  <si>
    <t>Z B152</t>
  </si>
  <si>
    <t>Z B153</t>
  </si>
  <si>
    <t>Z B154</t>
  </si>
  <si>
    <t>Z B155</t>
  </si>
  <si>
    <t>Z B156</t>
  </si>
  <si>
    <t>Z B157</t>
  </si>
  <si>
    <t>Z B158</t>
  </si>
  <si>
    <t>Z B159</t>
  </si>
  <si>
    <t>Z B160</t>
  </si>
  <si>
    <t>Z B161</t>
  </si>
  <si>
    <t>Z B162</t>
  </si>
  <si>
    <t>Z B163</t>
  </si>
  <si>
    <t>Z B164</t>
  </si>
  <si>
    <t>Z B165</t>
  </si>
  <si>
    <t>Z B166</t>
  </si>
  <si>
    <t>Z B167</t>
  </si>
  <si>
    <t>Z B168</t>
  </si>
  <si>
    <t>Z B169</t>
  </si>
  <si>
    <t>Z B170</t>
  </si>
  <si>
    <t>Z B171</t>
  </si>
  <si>
    <t>Z B172</t>
  </si>
  <si>
    <t>Z B173</t>
  </si>
  <si>
    <t>Z B174</t>
  </si>
  <si>
    <t>Z B175</t>
  </si>
  <si>
    <t>Z B176</t>
  </si>
  <si>
    <t>Z B177</t>
  </si>
  <si>
    <t>Z B178</t>
  </si>
  <si>
    <t>Z B179</t>
  </si>
  <si>
    <t>Z B180</t>
  </si>
  <si>
    <t>Z B181</t>
  </si>
  <si>
    <t>Z B182</t>
  </si>
  <si>
    <t>Z B183</t>
  </si>
  <si>
    <t>Z B184</t>
  </si>
  <si>
    <t>Z B185</t>
  </si>
  <si>
    <t>Z B186</t>
  </si>
  <si>
    <t>Z B187</t>
  </si>
  <si>
    <t>Z B188</t>
  </si>
  <si>
    <t>Z B189</t>
  </si>
  <si>
    <t>Z B190</t>
  </si>
  <si>
    <t>Z B191</t>
  </si>
  <si>
    <t>Z B192</t>
  </si>
  <si>
    <t>Z B193</t>
  </si>
  <si>
    <t>Z B194</t>
  </si>
  <si>
    <t>Z B195</t>
  </si>
  <si>
    <t>Z B196</t>
  </si>
  <si>
    <t>Z B197</t>
  </si>
  <si>
    <t>Z B198</t>
  </si>
  <si>
    <t>Z B199</t>
  </si>
  <si>
    <t>Z B200</t>
  </si>
  <si>
    <t>Z A307</t>
  </si>
  <si>
    <t>Z A297</t>
  </si>
  <si>
    <t>Z A298</t>
  </si>
  <si>
    <t>Z A299</t>
  </si>
  <si>
    <t>Z A300</t>
  </si>
  <si>
    <t>Z A301</t>
  </si>
  <si>
    <t>Z A302</t>
  </si>
  <si>
    <t>Z A303</t>
  </si>
  <si>
    <t>Z A304</t>
  </si>
  <si>
    <t>Z A305</t>
  </si>
  <si>
    <t>Z A306</t>
  </si>
  <si>
    <t>Z A232</t>
  </si>
  <si>
    <t>Z A233</t>
  </si>
  <si>
    <t>Z A234</t>
  </si>
  <si>
    <t>Z A235</t>
  </si>
  <si>
    <t>Z A236</t>
  </si>
  <si>
    <t>Z A237</t>
  </si>
  <si>
    <t>Z A238</t>
  </si>
  <si>
    <t>Z A239</t>
  </si>
  <si>
    <t>Z A240</t>
  </si>
  <si>
    <t>Z A241</t>
  </si>
  <si>
    <t>Z A242</t>
  </si>
  <si>
    <t>Z A243</t>
  </si>
  <si>
    <t>Z A244</t>
  </si>
  <si>
    <t>Z A245</t>
  </si>
  <si>
    <t>Z A246</t>
  </si>
  <si>
    <t>Z A247</t>
  </si>
  <si>
    <t>Z A248</t>
  </si>
  <si>
    <t>Z A249</t>
  </si>
  <si>
    <t>Z A250</t>
  </si>
  <si>
    <t>Z A251</t>
  </si>
  <si>
    <t>Z A252</t>
  </si>
  <si>
    <t>Z A253</t>
  </si>
  <si>
    <t>Z A254</t>
  </si>
  <si>
    <t>Z A255</t>
  </si>
  <si>
    <t>Z A256</t>
  </si>
  <si>
    <t>Z A257</t>
  </si>
  <si>
    <t>Z A258</t>
  </si>
  <si>
    <t>Z A259</t>
  </si>
  <si>
    <t>Z A260</t>
  </si>
  <si>
    <t>Z A261</t>
  </si>
  <si>
    <t>Z A262</t>
  </si>
  <si>
    <t>Z A263</t>
  </si>
  <si>
    <t>Z A264</t>
  </si>
  <si>
    <t>Z A265</t>
  </si>
  <si>
    <t>Z A266</t>
  </si>
  <si>
    <t>Z A267</t>
  </si>
  <si>
    <t>Z A268</t>
  </si>
  <si>
    <t>Z A269</t>
  </si>
  <si>
    <t>Z A270</t>
  </si>
  <si>
    <t>Z A271</t>
  </si>
  <si>
    <t>Z A272</t>
  </si>
  <si>
    <t>Z A273</t>
  </si>
  <si>
    <t>Z A274</t>
  </si>
  <si>
    <t>Z A275</t>
  </si>
  <si>
    <t>Z A276</t>
  </si>
  <si>
    <t>Z A277</t>
  </si>
  <si>
    <t>Z A278</t>
  </si>
  <si>
    <t>Z A279</t>
  </si>
  <si>
    <t>Z A280</t>
  </si>
  <si>
    <t>Z A281</t>
  </si>
  <si>
    <t>Z A282</t>
  </si>
  <si>
    <t>Z A283</t>
  </si>
  <si>
    <t>Z A284</t>
  </si>
  <si>
    <t>Z A285</t>
  </si>
  <si>
    <t>Z A286</t>
  </si>
  <si>
    <t>Z A287</t>
  </si>
  <si>
    <t>Z A288</t>
  </si>
  <si>
    <t>Z A289</t>
  </si>
  <si>
    <t>Z A290</t>
  </si>
  <si>
    <t>Z A291</t>
  </si>
  <si>
    <t>Z A292</t>
  </si>
  <si>
    <t>Z A293</t>
  </si>
  <si>
    <t>Z A294</t>
  </si>
  <si>
    <t>Z A295</t>
  </si>
  <si>
    <t>Z A296</t>
  </si>
  <si>
    <t>Z A200</t>
  </si>
  <si>
    <t>Z A201</t>
  </si>
  <si>
    <t>Z A202</t>
  </si>
  <si>
    <t>Z A203</t>
  </si>
  <si>
    <t>Z A204</t>
  </si>
  <si>
    <t>Z A205</t>
  </si>
  <si>
    <t>Z A206</t>
  </si>
  <si>
    <t>Z A207</t>
  </si>
  <si>
    <t>Z A208</t>
  </si>
  <si>
    <t>Z A209</t>
  </si>
  <si>
    <t>Z A210</t>
  </si>
  <si>
    <t>Z A211</t>
  </si>
  <si>
    <t>Z A212</t>
  </si>
  <si>
    <t>Z A213</t>
  </si>
  <si>
    <t>Z A214</t>
  </si>
  <si>
    <t>Z A215</t>
  </si>
  <si>
    <t>Z A216</t>
  </si>
  <si>
    <t>Z A217</t>
  </si>
  <si>
    <t>Z A218</t>
  </si>
  <si>
    <t>Z A219</t>
  </si>
  <si>
    <t>Z A220</t>
  </si>
  <si>
    <t>Z A221</t>
  </si>
  <si>
    <t>Z A222</t>
  </si>
  <si>
    <t>Z A223</t>
  </si>
  <si>
    <t>Z A224</t>
  </si>
  <si>
    <t>Z A225</t>
  </si>
  <si>
    <t>Z A226</t>
  </si>
  <si>
    <t>Z A227</t>
  </si>
  <si>
    <t>Z A228</t>
  </si>
  <si>
    <t>Z A229</t>
  </si>
  <si>
    <t>Z A230</t>
  </si>
  <si>
    <t>Z A231</t>
  </si>
  <si>
    <t>Z  A172</t>
  </si>
  <si>
    <t>Z  A2</t>
  </si>
  <si>
    <t>Z  A3</t>
  </si>
  <si>
    <t>Z  A4</t>
  </si>
  <si>
    <t>Z  A5</t>
  </si>
  <si>
    <t>Z  A6</t>
  </si>
  <si>
    <t>Z  A7</t>
  </si>
  <si>
    <t>Z  A8</t>
  </si>
  <si>
    <t>Z  A9</t>
  </si>
  <si>
    <t>Z  A10</t>
  </si>
  <si>
    <t>Z  A11</t>
  </si>
  <si>
    <t>Z  A12</t>
  </si>
  <si>
    <t>Z  A13</t>
  </si>
  <si>
    <t>Z  A14</t>
  </si>
  <si>
    <t>Z  A15</t>
  </si>
  <si>
    <t>Z  A16</t>
  </si>
  <si>
    <t>Z  A17</t>
  </si>
  <si>
    <t>Z  A18</t>
  </si>
  <si>
    <t>Z  A19</t>
  </si>
  <si>
    <t>Z  A20</t>
  </si>
  <si>
    <t>Z  A21</t>
  </si>
  <si>
    <t>Z  A22</t>
  </si>
  <si>
    <t>Z  A23</t>
  </si>
  <si>
    <t>Z  A24</t>
  </si>
  <si>
    <t>Z  A25</t>
  </si>
  <si>
    <t>Z  A26</t>
  </si>
  <si>
    <t>Z  A27</t>
  </si>
  <si>
    <t>Z  A28</t>
  </si>
  <si>
    <t>Z  A29</t>
  </si>
  <si>
    <t>Z  A30</t>
  </si>
  <si>
    <t>Z  A31</t>
  </si>
  <si>
    <t>Z  A32</t>
  </si>
  <si>
    <t>Z  A33</t>
  </si>
  <si>
    <t>Z  A34</t>
  </si>
  <si>
    <t>Z  A35</t>
  </si>
  <si>
    <t>Z  A36</t>
  </si>
  <si>
    <t>Z  A37</t>
  </si>
  <si>
    <t>Z  A38</t>
  </si>
  <si>
    <t>Z  A39</t>
  </si>
  <si>
    <t>Z  A40</t>
  </si>
  <si>
    <t>Z  A41</t>
  </si>
  <si>
    <t>Z  A42</t>
  </si>
  <si>
    <t>Z  A43</t>
  </si>
  <si>
    <t>Z  A44</t>
  </si>
  <si>
    <t>Z  A45</t>
  </si>
  <si>
    <t>Z  A46</t>
  </si>
  <si>
    <t>Z  A47</t>
  </si>
  <si>
    <t>Z  A48</t>
  </si>
  <si>
    <t>Z  A49</t>
  </si>
  <si>
    <t>Z  A50</t>
  </si>
  <si>
    <t>Z  A51</t>
  </si>
  <si>
    <t>Z  A52</t>
  </si>
  <si>
    <t>Z  A53</t>
  </si>
  <si>
    <t>Z  A54</t>
  </si>
  <si>
    <t>Z  A55</t>
  </si>
  <si>
    <t>Z  A56</t>
  </si>
  <si>
    <t>Z  A57</t>
  </si>
  <si>
    <t>Z  A58</t>
  </si>
  <si>
    <t>Z  A59</t>
  </si>
  <si>
    <t>Z  A60</t>
  </si>
  <si>
    <t>Z  A61</t>
  </si>
  <si>
    <t>Z  A62</t>
  </si>
  <si>
    <t>Z  A63</t>
  </si>
  <si>
    <t>Z  A64</t>
  </si>
  <si>
    <t>Z  A65</t>
  </si>
  <si>
    <t>Z  A66</t>
  </si>
  <si>
    <t>Z  A67</t>
  </si>
  <si>
    <t>Z  A68</t>
  </si>
  <si>
    <t>Z  A69</t>
  </si>
  <si>
    <t>Z  A70</t>
  </si>
  <si>
    <t>Z  A71</t>
  </si>
  <si>
    <t>Z  A72</t>
  </si>
  <si>
    <t>Z  A73</t>
  </si>
  <si>
    <t>Z  A74</t>
  </si>
  <si>
    <t>Z  A75</t>
  </si>
  <si>
    <t>Z  A76</t>
  </si>
  <si>
    <t>Z  A77</t>
  </si>
  <si>
    <t>Z  A78</t>
  </si>
  <si>
    <t>Z  A79</t>
  </si>
  <si>
    <t>Z  A80</t>
  </si>
  <si>
    <t>Z  A81</t>
  </si>
  <si>
    <t>Z  A82</t>
  </si>
  <si>
    <t>Z  A83</t>
  </si>
  <si>
    <t>Z  A84</t>
  </si>
  <si>
    <t>Z  A85</t>
  </si>
  <si>
    <t>Z  A86</t>
  </si>
  <si>
    <t>Z  A87</t>
  </si>
  <si>
    <t>Z  A88</t>
  </si>
  <si>
    <t>Z  A89</t>
  </si>
  <si>
    <t>Z  A90</t>
  </si>
  <si>
    <t>Z  A91</t>
  </si>
  <si>
    <t>Z  A92</t>
  </si>
  <si>
    <t>Z  A93</t>
  </si>
  <si>
    <t>Z  A94</t>
  </si>
  <si>
    <t>Z  A95</t>
  </si>
  <si>
    <t>Z  A96</t>
  </si>
  <si>
    <t>Z  A97</t>
  </si>
  <si>
    <t>Z  A98</t>
  </si>
  <si>
    <t>Z  A99</t>
  </si>
  <si>
    <t>Z  A100</t>
  </si>
  <si>
    <t>Z  A101</t>
  </si>
  <si>
    <t>Z  A102</t>
  </si>
  <si>
    <t>Z  A103</t>
  </si>
  <si>
    <t>Z  A104</t>
  </si>
  <si>
    <t>Z  A105</t>
  </si>
  <si>
    <t>Z  A106</t>
  </si>
  <si>
    <t>Z  A107</t>
  </si>
  <si>
    <t>Z  A108</t>
  </si>
  <si>
    <t>Z  A109</t>
  </si>
  <si>
    <t>Z  A110</t>
  </si>
  <si>
    <t>Z  A111</t>
  </si>
  <si>
    <t>Z  A112</t>
  </si>
  <si>
    <t>Z  A113</t>
  </si>
  <si>
    <t>Z  A114</t>
  </si>
  <si>
    <t>Z  A115</t>
  </si>
  <si>
    <t>Z  A116</t>
  </si>
  <si>
    <t>Z  A117</t>
  </si>
  <si>
    <t>Z  A118</t>
  </si>
  <si>
    <t>Z  A119</t>
  </si>
  <si>
    <t>Z  A120</t>
  </si>
  <si>
    <t>Z  A121</t>
  </si>
  <si>
    <t>Z  A122</t>
  </si>
  <si>
    <t>Z  A123</t>
  </si>
  <si>
    <t>Z  A124</t>
  </si>
  <si>
    <t>Z  A125</t>
  </si>
  <si>
    <t>Z  A126</t>
  </si>
  <si>
    <t>Z  A127</t>
  </si>
  <si>
    <t>Z  A128</t>
  </si>
  <si>
    <t>Z  A129</t>
  </si>
  <si>
    <t>Z  A130</t>
  </si>
  <si>
    <t>Z  A131</t>
  </si>
  <si>
    <t>Z  A132</t>
  </si>
  <si>
    <t>Z  A133</t>
  </si>
  <si>
    <t>Z  A134</t>
  </si>
  <si>
    <t>Z  A135</t>
  </si>
  <si>
    <t>Z  A136</t>
  </si>
  <si>
    <t>Z  A137</t>
  </si>
  <si>
    <t>Z  A138</t>
  </si>
  <si>
    <t>Z  A139</t>
  </si>
  <si>
    <t>Z  A140</t>
  </si>
  <si>
    <t>Z  A141</t>
  </si>
  <si>
    <t>Z  A142</t>
  </si>
  <si>
    <t>Z  A143</t>
  </si>
  <si>
    <t>Z  A144</t>
  </si>
  <si>
    <t>Z  A145</t>
  </si>
  <si>
    <t>Z  A146</t>
  </si>
  <si>
    <t>Z  A147</t>
  </si>
  <si>
    <t>Z  A148</t>
  </si>
  <si>
    <t>Z  A149</t>
  </si>
  <si>
    <t>Z  A150</t>
  </si>
  <si>
    <t>Z  A151</t>
  </si>
  <si>
    <t>Z  A152</t>
  </si>
  <si>
    <t>Z  A153</t>
  </si>
  <si>
    <t>Z  A154</t>
  </si>
  <si>
    <t>Z  A155</t>
  </si>
  <si>
    <t>Z  A156</t>
  </si>
  <si>
    <t>Z  A157</t>
  </si>
  <si>
    <t>Z  A158</t>
  </si>
  <si>
    <t>Z  A159</t>
  </si>
  <si>
    <t>Z  A160</t>
  </si>
  <si>
    <t>Z  A161</t>
  </si>
  <si>
    <t>Z  A162</t>
  </si>
  <si>
    <t>Z  A163</t>
  </si>
  <si>
    <t>Z  A164</t>
  </si>
  <si>
    <t>Z  A165</t>
  </si>
  <si>
    <t>Z  A166</t>
  </si>
  <si>
    <t>Z  A167</t>
  </si>
  <si>
    <t>Z  A168</t>
  </si>
  <si>
    <t>Z  A169</t>
  </si>
  <si>
    <t>Z  A170</t>
  </si>
  <si>
    <t>Z  A171</t>
  </si>
  <si>
    <t>参数表-注塑成型</t>
  </si>
  <si>
    <t>Info: Für Bauteile mit zwei oder mehr Komponenten bitte das dafür vorgesehene Parameterdatenblatt  für 2K / 3K Teile verwenden.</t>
  </si>
  <si>
    <t>Info: For components with two or more components please use the parameter data sheet for 2K / 3K components.</t>
  </si>
  <si>
    <t>信息：针对有两种或者多种塑胶材料的产品，请使用参数表2色 / 3色</t>
  </si>
  <si>
    <t xml:space="preserve">用 * 标记的部分必须在FS阶段填写 (APQP)，
你可以强调相关项通过使用这个选择区域 </t>
  </si>
  <si>
    <t>零件名称 | 零件号 | 图纸号</t>
  </si>
  <si>
    <t>Názov dielu, Čislo dielu, Čislo výkresu</t>
  </si>
  <si>
    <t>设备和生产参数的详情</t>
  </si>
  <si>
    <t>注塑机 / 注塑单元的制造年份</t>
  </si>
  <si>
    <t>锁模力大小（预设）</t>
  </si>
  <si>
    <t>max. machine plastification rate (based on PS)</t>
  </si>
  <si>
    <t>注塑机最大的塑化能力（基于PS）</t>
  </si>
  <si>
    <t>潜在计量体积（最大的）</t>
  </si>
  <si>
    <t>注射体积 （计算所得）</t>
  </si>
  <si>
    <t>Plasticizing time (calculated)</t>
  </si>
  <si>
    <t>塑化时间（计算所得）</t>
  </si>
  <si>
    <t>螺筒内滞留时间 （大约值）</t>
  </si>
  <si>
    <t xml:space="preserve">注射时间 (查看工艺监控） </t>
  </si>
  <si>
    <t>具体的保压压力（熔化）</t>
  </si>
  <si>
    <t>浇口开放时间（凝固）</t>
  </si>
  <si>
    <t>剩余的冷却时间</t>
  </si>
  <si>
    <t>保压切换取决于</t>
  </si>
  <si>
    <t>残余量取决于</t>
  </si>
  <si>
    <t>残余量（查看工艺监控）</t>
  </si>
  <si>
    <t>Materiálový vankúš (viď. PD protokol)</t>
  </si>
  <si>
    <t>背压（熔化）</t>
  </si>
  <si>
    <t>Schneckendrehzahl</t>
  </si>
  <si>
    <t>Screw speed</t>
  </si>
  <si>
    <t>螺杆速度</t>
  </si>
  <si>
    <t>U/min</t>
  </si>
  <si>
    <t>每分钟旋转次数</t>
  </si>
  <si>
    <t>实测的熔融料温通过炮筒</t>
  </si>
  <si>
    <t>实测的熔融料温通过热流道</t>
  </si>
  <si>
    <t>模具温度（数值  / 偏差）【摄氏度】</t>
  </si>
  <si>
    <t>实测的模具温度【摄氏度】</t>
  </si>
  <si>
    <t>是否计算过的冷却效果?</t>
  </si>
  <si>
    <t>温度传感器是否用来控制工艺？</t>
  </si>
  <si>
    <t>模具冷却水道的数量（模具）</t>
  </si>
  <si>
    <t>设定的注射压力（熔化）</t>
  </si>
  <si>
    <t>实际的注射压力（熔化）</t>
  </si>
  <si>
    <t>最大的注射压力（熔化）</t>
  </si>
  <si>
    <t>模具是否有压力传感器　?</t>
  </si>
  <si>
    <t>压力传感器是否用来控制工艺？</t>
  </si>
  <si>
    <t>Wurde Füllstudie erstellt &amp; dokumentiert?</t>
  </si>
  <si>
    <t>Teilegewicht ohne Nachdruck je Kavität (gewogen)</t>
  </si>
  <si>
    <t>Part weight per cavity - without holding pressure (weighted)</t>
  </si>
  <si>
    <t>Teilegewicht je Kavität (gewogen)</t>
  </si>
  <si>
    <t>Part weight per cavity (weighted)</t>
  </si>
  <si>
    <t>Bei mehr als 4 Kavitäten bitte nachfolgend jeweils das Gewicht aus der leichtesten und schwersten Kavität angeben.</t>
  </si>
  <si>
    <t>If more than 4 cavities are realized, please enter the weight of the lightest / heaviest cavity in the fields below.</t>
  </si>
  <si>
    <t>如果超过4穴，请记录最重和最轻的产品重量</t>
  </si>
  <si>
    <t xml:space="preserve">Pokiaĭ sú vo forme viac ako štyri dutiny, zapíšte 
hmotnosť najľahšej a najťažšej dutiny do nižšie uvedeného poľa </t>
  </si>
  <si>
    <t>Angaben zum Rohmaterial und zur Prozessüberwachung</t>
  </si>
  <si>
    <t>Raw material and process monitoring data</t>
  </si>
  <si>
    <t>原材料和工艺监控数据</t>
  </si>
  <si>
    <t>Základný materiál a monitorovanie výrobných dát</t>
  </si>
  <si>
    <t>品牌 / 交易方名称</t>
  </si>
  <si>
    <t>密度（固体）</t>
  </si>
  <si>
    <t>密度（熔化）通过选择“材料类型”</t>
  </si>
  <si>
    <t xml:space="preserve">根据博泽图纸定义，是否有替代材料？ </t>
  </si>
  <si>
    <t>原料是否经过进料检？</t>
  </si>
  <si>
    <t>是否有预干燥？</t>
  </si>
  <si>
    <t xml:space="preserve">烘干温度 </t>
  </si>
  <si>
    <t>烘干时间</t>
  </si>
  <si>
    <t>是否确认过材料烘干后残留水分？</t>
  </si>
  <si>
    <t>Bola určená zostatková vlhkosť v materiály?</t>
  </si>
  <si>
    <t>Grenzwert für Restfeuchte bei Überprüfung</t>
  </si>
  <si>
    <t>Limit value for residual moisture during inspection</t>
  </si>
  <si>
    <t>残留水分的限制值</t>
  </si>
  <si>
    <t>Max.hodnota pre zostatkovú vlhkosť počas kontroly</t>
  </si>
  <si>
    <t>每批次百分比</t>
  </si>
  <si>
    <t>每批次的基材</t>
  </si>
  <si>
    <t>Material feed system</t>
  </si>
  <si>
    <t>请稍后详细描述</t>
  </si>
  <si>
    <t>是否是长玻璃纤维材料？</t>
  </si>
  <si>
    <r>
      <t>Sampling &amp; manufacturing according to BN 590058? *</t>
    </r>
    <r>
      <rPr>
        <vertAlign val="superscript"/>
        <sz val="11"/>
        <rFont val="Bahnschrift SemiLight SemiConde"/>
        <family val="2"/>
      </rPr>
      <t>1</t>
    </r>
  </si>
  <si>
    <t>试生产和生产制程应符合博泽标准BN 590058 *1</t>
  </si>
  <si>
    <t>Vzorkovanie a výroba podĭa BN 590058 ? *1</t>
  </si>
  <si>
    <t>是否使用回料？</t>
  </si>
  <si>
    <t>射料重量的百分比</t>
  </si>
  <si>
    <r>
      <t>Sampling &amp; manufacturing according to BN 590019? *</t>
    </r>
    <r>
      <rPr>
        <vertAlign val="superscript"/>
        <sz val="11"/>
        <rFont val="Bahnschrift SemiLight SemiConde"/>
        <family val="2"/>
      </rPr>
      <t>2</t>
    </r>
  </si>
  <si>
    <t>加工过程是否按照博泽标准　590019  *2</t>
  </si>
  <si>
    <t>Vzorkovanie a výroba podĭa BN 590019 ? *2</t>
  </si>
  <si>
    <r>
      <t>Sampling &amp; manufacturing according to BN 590607 ? *</t>
    </r>
    <r>
      <rPr>
        <vertAlign val="superscript"/>
        <sz val="11"/>
        <rFont val="Bahnschrift SemiLight SemiConde"/>
        <family val="2"/>
      </rPr>
      <t>3</t>
    </r>
  </si>
  <si>
    <t>试生产和生产制程应符合博泽标准BN 590607？*</t>
  </si>
  <si>
    <t>塑料的基本标准：必须遵守 BN 568923-xxx</t>
  </si>
  <si>
    <t>Angaben zum Werkzeug</t>
  </si>
  <si>
    <t>Mold details</t>
  </si>
  <si>
    <t>模具详情</t>
  </si>
  <si>
    <t xml:space="preserve">Forma </t>
  </si>
  <si>
    <t>进行过模流分析吗？</t>
  </si>
  <si>
    <t>分析结果是否在摸具设计中考虑了吗？</t>
  </si>
  <si>
    <t>模拟软件</t>
  </si>
  <si>
    <t>信息：FS时提交Moldflow的报告</t>
  </si>
  <si>
    <t>浇口</t>
  </si>
  <si>
    <t>制造商 / 系统</t>
  </si>
  <si>
    <t>分流板直径</t>
  </si>
  <si>
    <t>灌嘴</t>
  </si>
  <si>
    <t>Type of nozzles</t>
  </si>
  <si>
    <t>喷嘴类型</t>
  </si>
  <si>
    <t>主流道</t>
  </si>
  <si>
    <t>Prototyp part manufacturing</t>
  </si>
  <si>
    <t>快速样件制造</t>
  </si>
  <si>
    <t>Výroba prototipu</t>
  </si>
  <si>
    <t>内嵌 / 外包的金属件</t>
  </si>
  <si>
    <t>嵌件的预热温度</t>
  </si>
  <si>
    <t>嵌入件是否经过去脂处理？</t>
  </si>
  <si>
    <t>在试生产前嵌入件是否准备就绪？</t>
  </si>
  <si>
    <t>产品是否处理过？</t>
  </si>
  <si>
    <t>何种方式处理？</t>
  </si>
  <si>
    <t>在右侧指定区域详细描述</t>
  </si>
  <si>
    <t>吸水率（百分比）</t>
  </si>
  <si>
    <t>数值是否被检验？　　</t>
  </si>
  <si>
    <t>如何检验？</t>
  </si>
  <si>
    <t>Bemusterung &amp; Fertigung nach BN 590794? *¹</t>
  </si>
  <si>
    <t>Sampling &amp; manufacturing according to BN 590794? *¹</t>
  </si>
  <si>
    <t>备注 / 其它额外的生产步骤</t>
  </si>
  <si>
    <t>请详细说明具体的生产步骤</t>
  </si>
  <si>
    <t>处理 / 质量</t>
  </si>
  <si>
    <t>取出产品</t>
  </si>
  <si>
    <t>其它集成的质量系统</t>
  </si>
  <si>
    <t>信息：如果图纸没有指明，位置和设计必须与博泽讨论，并记录在FS中！</t>
  </si>
  <si>
    <t>特殊材料 / 输入密度</t>
  </si>
  <si>
    <t>要求做CT扫描分析吗？</t>
  </si>
  <si>
    <t>CT扫描报告可获得吗？</t>
  </si>
  <si>
    <t xml:space="preserve">信息：请提交CT扫描报告到ISIR数据中 </t>
  </si>
  <si>
    <t>请填写制表人信息 (备注：如果采用线上提交FS资料，那么签名就不需要了)</t>
  </si>
  <si>
    <t>博泽评估区</t>
  </si>
  <si>
    <t>评价</t>
  </si>
  <si>
    <t>名字 （博泽）</t>
  </si>
  <si>
    <t>请完成所有表格标记的空格根据如下的提示</t>
  </si>
  <si>
    <t>模具的开合时间评估</t>
  </si>
  <si>
    <t>Chargen-Kennzeichnung</t>
  </si>
  <si>
    <t>品牌 / 类型</t>
  </si>
  <si>
    <t>绩效表现</t>
  </si>
  <si>
    <t>Pev.</t>
  </si>
  <si>
    <t>镶件 / 抽芯</t>
  </si>
  <si>
    <t>Auswahl ISO~AISI</t>
  </si>
  <si>
    <t>Selection ISO~AISI</t>
  </si>
  <si>
    <t>Povlak</t>
  </si>
  <si>
    <t>孔隙率定义（图纸）？</t>
  </si>
  <si>
    <t>孔隙率基于产品设计的预期？</t>
  </si>
  <si>
    <t>相关区域 / 产生的行动必须与博泽协调</t>
  </si>
  <si>
    <t>螺杆：长 / 经比</t>
  </si>
  <si>
    <t xml:space="preserve">Šnek: pomer_ dĺžka / priemer </t>
  </si>
  <si>
    <t>设备最大塑化能力</t>
  </si>
  <si>
    <t>Max. plastifikačný výkon stroja</t>
  </si>
  <si>
    <t>保压时间（总计）</t>
  </si>
  <si>
    <t>Dotlak / celkový čas dotlaku</t>
  </si>
  <si>
    <t>保压压力（最大）</t>
  </si>
  <si>
    <t>熔融密度（通过选择）</t>
  </si>
  <si>
    <t>Hustota taveniny (podľa výberu)</t>
  </si>
  <si>
    <t>注射重量包括冷流道</t>
  </si>
  <si>
    <t>Hmotnosť odstreku vrátane studeného vtoku</t>
  </si>
  <si>
    <t>产品重量没有施加保压</t>
  </si>
  <si>
    <t>Hmotnosž dielu bez dotlaku</t>
  </si>
  <si>
    <t>产品重量增加保压了</t>
  </si>
  <si>
    <t>Hmotnosť dielu s dotlakom</t>
  </si>
  <si>
    <t>最大的注射压</t>
  </si>
  <si>
    <t>Max. vstrekovací tlak</t>
  </si>
  <si>
    <t>增加负载</t>
  </si>
  <si>
    <t xml:space="preserve"> Prídanie uzatváracej sily (posuvné jadrá)</t>
  </si>
  <si>
    <t>BROSE INTERNAL . 工艺分析</t>
  </si>
  <si>
    <t>BROSE INTERNAL_analýza procesu</t>
  </si>
  <si>
    <t>来自参数表里的数据</t>
  </si>
  <si>
    <t>Bitte Formeln nicht verändern!</t>
  </si>
  <si>
    <t>Please don't modify!</t>
  </si>
  <si>
    <t>请不要更改</t>
  </si>
  <si>
    <t>Prosím, neupravujte</t>
  </si>
  <si>
    <t>锁模力增加负载（滑块固定）</t>
  </si>
  <si>
    <t>Kommentar / Notiz</t>
  </si>
  <si>
    <t>Comments / Notes</t>
  </si>
  <si>
    <t>注释 / 备注</t>
  </si>
  <si>
    <t>Verhältnis Dosierhub / Schneckendurchmesser</t>
  </si>
  <si>
    <t>计量行程 / 螺杆直径比率</t>
  </si>
  <si>
    <t>炮筒使用</t>
  </si>
  <si>
    <t>有无保压的产品重量比</t>
  </si>
  <si>
    <t>残余量 （体积）</t>
  </si>
  <si>
    <t>补缩量</t>
  </si>
  <si>
    <t>比例 - 补缩量与注射量</t>
  </si>
  <si>
    <t>区别 - 具体的工艺时间与注塑周期</t>
  </si>
  <si>
    <t>区别 - 残余的冷却时间与计量时间</t>
  </si>
  <si>
    <t>区别 - 保压时间与浇口封冻时间</t>
  </si>
  <si>
    <t>比率 - 注射时间与具体的公差</t>
  </si>
  <si>
    <t>比率 - 残余量与具体的公差</t>
  </si>
  <si>
    <t>请参照原料供应商建议的工艺参数</t>
  </si>
  <si>
    <t>比率 - 计算的和实际的锁模力</t>
  </si>
  <si>
    <t>比率 - 计算的和最大的锁模力</t>
  </si>
  <si>
    <t>请参考左侧的输入</t>
  </si>
  <si>
    <t>交接表 - 请不要更改</t>
  </si>
  <si>
    <t>这里，只是右边一半的表格：评估区是可以更改的。参数表转换发生在语言栏这里。</t>
  </si>
  <si>
    <t>Tu sa mení iba prvá polovica hárku "Oblasť hodnotenia". Prenos z údajováho listu parametrov sa uskutoční v tu prednastavenom jazyku</t>
  </si>
  <si>
    <t>转化的工艺参数表</t>
  </si>
  <si>
    <t>Prenos parametrov</t>
  </si>
  <si>
    <t>注塑工艺表</t>
  </si>
  <si>
    <t xml:space="preserve">Process data set
</t>
  </si>
  <si>
    <t>Vstup</t>
  </si>
  <si>
    <t>评估区</t>
  </si>
  <si>
    <t>Oblasť vyhodnotenia</t>
  </si>
  <si>
    <t>在右手边的评价区，注塑工艺表的自身的输入显示左边（灰色部分）；在右边（黄色区域），你的输入值可以用来检查优化方法</t>
  </si>
  <si>
    <t>V pravej časti hodnotenia sú vstupy zo samotného PDS zobrazené vľavo (sivé polia) a vpravo (žlté polia), vaše vlastné hodnoty môžu byť použité na kontrolu optimalizačných prístupov</t>
  </si>
  <si>
    <t>在表格的右边，部分计算是根据你的输入计算而来的。
它们中有些已经考虑了信号灯，只能接受简单的评估结果，因此会有风险或者可提升的选项。
然而，这个不能取代技术人员的详细的评估。</t>
  </si>
  <si>
    <t>Na pravej strane listu sa vykonávajú rôzne výpočty na kontrolu informácií z PDS alebo hodnôt z vlastného vstupu.
Pre niektoré z nich je súčasťou aj semafor, ktorý umožňuje jednoduché vyhodnotenie výsledkov a tým naznačuje riziká alebo možnosti optimalizácie.
To však nemôže nahradiť podrobné posúdenie technológom</t>
  </si>
  <si>
    <t>请确认最大的螺杆速度 / 圆周速度按照大概0.6米每秒的速度，但是在市场上有些注塑单元拥有高的最大计量值。</t>
  </si>
  <si>
    <t>Skontrolujte prosím maximálnu rýchlosť šneku / obvodovú rýchlosť Vzorec tu počíta s približnou hodnotou 0,6 m/s, ale na trhu sú vstrekovacie jednotky s vyššími maximálnymi hodnotami.</t>
  </si>
  <si>
    <t>Výrobca</t>
  </si>
  <si>
    <t>注射时间 值 | 公差</t>
  </si>
  <si>
    <t>Vstrekovací čas_hodnota / tolerancia</t>
  </si>
  <si>
    <t>保压分段</t>
  </si>
  <si>
    <t>Profil dotlaku</t>
  </si>
  <si>
    <t>压力 | 时间</t>
  </si>
  <si>
    <t>Tlak / čas</t>
  </si>
  <si>
    <t>总和</t>
  </si>
  <si>
    <t>Sumár</t>
  </si>
  <si>
    <t>确定</t>
  </si>
  <si>
    <t>Určené</t>
  </si>
  <si>
    <t>零件</t>
  </si>
  <si>
    <t>Komponent</t>
  </si>
  <si>
    <t>保压时间总和</t>
  </si>
  <si>
    <t>Celkový čas dotlaku</t>
  </si>
  <si>
    <t>值 | 公差</t>
  </si>
  <si>
    <t>Hodnota / tolerancia</t>
  </si>
  <si>
    <t>| 时间</t>
  </si>
  <si>
    <t>转换</t>
  </si>
  <si>
    <t>抽芯</t>
  </si>
  <si>
    <t>Jadro-späť</t>
  </si>
  <si>
    <t>旋转模具的模板</t>
  </si>
  <si>
    <t>Otáčanie index dosky</t>
  </si>
  <si>
    <t>旋转设备固定板</t>
  </si>
  <si>
    <t>Otočný stôl stroja</t>
  </si>
  <si>
    <t>优化后的熔融温度</t>
  </si>
  <si>
    <t>Teplota prietoku nastavená</t>
  </si>
  <si>
    <t>请简单解释</t>
  </si>
  <si>
    <t>Krátke vysvetlenie</t>
  </si>
  <si>
    <t>在这里选择2K / 3K技术</t>
  </si>
  <si>
    <t>Tu vyber 2K / 3K technológia</t>
  </si>
  <si>
    <t>注塑周期总和</t>
  </si>
  <si>
    <t>Cyklus čas_celkkovo</t>
  </si>
  <si>
    <t>模具设计</t>
  </si>
  <si>
    <t>单个零件的详情</t>
  </si>
  <si>
    <t>Podrobnosti o jednotlivých komponentoch</t>
  </si>
  <si>
    <t>所有压力必须填写具体 - 不要填写油缸压力</t>
  </si>
  <si>
    <t>Všetky tlaky musia byť zadané v špecifických hodnotách. Nie hydraulických</t>
  </si>
  <si>
    <t>投影面积 - 单个零件</t>
  </si>
  <si>
    <t>Projekčná plocha jedného dielca</t>
  </si>
  <si>
    <t>单穴的流道重量</t>
  </si>
  <si>
    <t>Hmotnosť vtoku na vstrekovaný komponent</t>
  </si>
  <si>
    <t>工艺温度</t>
  </si>
  <si>
    <t>Procesná teplota</t>
  </si>
  <si>
    <t>供料区</t>
  </si>
  <si>
    <t>Vstupná zóna</t>
  </si>
  <si>
    <t>区</t>
  </si>
  <si>
    <t>Zóna</t>
  </si>
  <si>
    <t>热流道分流板</t>
  </si>
  <si>
    <t>Horúci kanál_rozvodný blok</t>
  </si>
  <si>
    <t>热流道喷嘴</t>
  </si>
  <si>
    <t>Horúci kanál_tryska</t>
  </si>
  <si>
    <t>备注 其它</t>
  </si>
  <si>
    <t>Poznámky / Doplnky</t>
  </si>
  <si>
    <t>温度控制</t>
  </si>
  <si>
    <t>Kontrola teploty</t>
  </si>
  <si>
    <t>材料供应</t>
  </si>
  <si>
    <t>Zásobovanie  materiálom</t>
  </si>
  <si>
    <t>进胶系统</t>
  </si>
  <si>
    <t>Vtokovanie</t>
  </si>
  <si>
    <t>最大允许的残留水分</t>
  </si>
  <si>
    <t xml:space="preserve">Max. prípustná zbytková vlhkosť </t>
  </si>
  <si>
    <t>推荐的计量时间</t>
  </si>
  <si>
    <t>Dávkovanie s doporučeným časom dávkovania</t>
  </si>
  <si>
    <t>浇口直径（里面）</t>
  </si>
  <si>
    <t>Priemer trysky</t>
  </si>
  <si>
    <t xml:space="preserve">Oblasť vyhodnotia </t>
  </si>
  <si>
    <t>博泽内部 工艺分析</t>
  </si>
  <si>
    <t>BROSE INTERN: Analýza procesu</t>
  </si>
  <si>
    <t>组件</t>
  </si>
  <si>
    <t>KOMPONENT:</t>
  </si>
  <si>
    <t>计算基础</t>
  </si>
  <si>
    <t>Základ pre výpočet</t>
  </si>
  <si>
    <t>信息</t>
  </si>
  <si>
    <t>info</t>
  </si>
  <si>
    <t>备注：滞留时间算入长径比计算</t>
  </si>
  <si>
    <t>Poznámka: Výpočet doby zotrvania tu sa berie do úvahy pomer L/D</t>
  </si>
  <si>
    <t>请单独提交额外的信息</t>
  </si>
  <si>
    <t>Ďalšie informácie pošlite samostatne</t>
  </si>
  <si>
    <t>Paralleles Dosieren möglich?</t>
  </si>
  <si>
    <t>Parallel dozing possible?</t>
  </si>
  <si>
    <t>内同步塑化可行性？</t>
  </si>
  <si>
    <t>Je možné paralelné dávkovanie?</t>
  </si>
  <si>
    <t xml:space="preserve">Innendurchmesser </t>
  </si>
  <si>
    <t xml:space="preserve">Inner diameter </t>
  </si>
  <si>
    <t>内径</t>
  </si>
  <si>
    <t>Vnútorný priemer</t>
  </si>
  <si>
    <t>混合率针对回收材料</t>
  </si>
  <si>
    <t>Pomer drveného materiálu</t>
  </si>
  <si>
    <t>【注射】流量的工艺监控是否通过压力传感器执行？或者这个环节是否可以被映射在这里？必要的额外信息必须单独提供，如压力曲线。</t>
  </si>
  <si>
    <t>Ak je process monitorovaný prostredníctvom toku (vstrekovanie),
pomocou snímača tlaku v dutine formy alebo ak váš proces nie je 
možné mapovať tu, všetky dodatočné informácie (napríklad. tlakové krivky) musia byť vložené samostatne</t>
  </si>
  <si>
    <t>工艺监控必须实施到一下参数：请在这里做合适的选择，和博泽一起指定合理的数值和公差并最终发行</t>
  </si>
  <si>
    <t xml:space="preserve">Process monitorovania sa vykonáva pomocou nasledujúcich 
parametrov. 
Vykonajte prosím vhodný výber tu, zadajte plánované alebo nastavené tolerancie a koordinujte ich s Brose v rámci FS (analýza vyrobiteľnosti) alebo ich upravte na schválenie procesu.
</t>
  </si>
  <si>
    <t>除了塑料产品基本的标准BN 568923外，所有列在图纸上的标准都要考虑在内并严格执行到工艺控制样件生产和量产阶段</t>
  </si>
  <si>
    <t xml:space="preserve">Okrem špecifikácií zo základnej normy BN 568923-xxx pre plastové diely, všetky štandardy uvedené vo výkrese musia byť vzaté do úvahy počas kontroly procesu, odberu vzoriek alebo PPAP. </t>
  </si>
  <si>
    <t>Nachdruck [spezifisch] Absolutwerte oder Profil bis 4 Stufen angeben.</t>
  </si>
  <si>
    <t>Enter absolute specific holding [pack] pressure values or profile up to 4 levels.</t>
  </si>
  <si>
    <t>输入具体的保压压力值或者详细到4段数据</t>
  </si>
  <si>
    <t>Zadajte absolútne špecifické hodnoty tlaku [dotlaku] alebo profilu až do 4 úrovní.</t>
  </si>
  <si>
    <t>塑化时间（实际值）</t>
  </si>
  <si>
    <t>注射时间</t>
  </si>
  <si>
    <t>Vstrekovací čas</t>
  </si>
  <si>
    <t>注射压（实际值）</t>
  </si>
  <si>
    <t>Vstrekovací tlak</t>
  </si>
  <si>
    <t>切换点的压力</t>
  </si>
  <si>
    <t>Tlak pri prepnutí na dotlak</t>
  </si>
  <si>
    <t>切换点</t>
  </si>
  <si>
    <t>Prepínací bod</t>
  </si>
  <si>
    <t>残料量</t>
  </si>
  <si>
    <t>Materiálový vankúš</t>
  </si>
  <si>
    <t>Index toku taveniny (MVR)</t>
  </si>
  <si>
    <t>百分比 批次 | 供料由</t>
  </si>
  <si>
    <t>% aditívum / spósob dávkovania</t>
  </si>
  <si>
    <t>选择</t>
  </si>
  <si>
    <t>Zeile 418</t>
  </si>
  <si>
    <t>Zeile 420</t>
  </si>
  <si>
    <t>Cube-Mold</t>
  </si>
  <si>
    <t>ohne Kaltkanal</t>
  </si>
  <si>
    <t>冷流道 否</t>
  </si>
  <si>
    <t>Direktanbindung - Dreiplatten-WZ</t>
  </si>
  <si>
    <t>Störungsbeseitigung beim Spritzgießen von Thermoplasten</t>
  </si>
  <si>
    <t>Elimination of injection molding defects into the production of thermoplastic</t>
  </si>
  <si>
    <t>Formteilfehler</t>
  </si>
  <si>
    <t>Defect on Molded Part</t>
  </si>
  <si>
    <t>Mögliche Maßnahmen</t>
  </si>
  <si>
    <t>Remedial Measure</t>
  </si>
  <si>
    <t xml:space="preserve"> Leakage betw. machine nozzle &amp; sprue bushing</t>
  </si>
  <si>
    <t>Bitte kurz beschreiben.</t>
  </si>
  <si>
    <t>Please describe shortly.</t>
  </si>
  <si>
    <t>" --"</t>
  </si>
  <si>
    <t xml:space="preserve">Prozessüberwachung </t>
  </si>
  <si>
    <t xml:space="preserve">Process Monitoring </t>
  </si>
  <si>
    <t>工艺监控</t>
  </si>
  <si>
    <t>Process Monitorovania</t>
  </si>
  <si>
    <t>Dodávateľ, Výrobná oblať, Výrobná dátum</t>
  </si>
  <si>
    <t>供应商 | 生产地 | 生产日期</t>
  </si>
  <si>
    <t>Supplier I Production Location I Production Date</t>
  </si>
  <si>
    <t>Lieferant I Produktionsstandort I Prod. Datum</t>
  </si>
  <si>
    <t>Hersteller  I  Typ der Spritzgießmaschine</t>
  </si>
  <si>
    <t>Brand  I   type of the injection machine</t>
  </si>
  <si>
    <t>注塑机品牌  I   类型</t>
  </si>
  <si>
    <t>Nadeldurchmesser  I  Anschnittdurchmesser [bei Kaltkanal]</t>
  </si>
  <si>
    <t>Needle diameter  I  gating point diameter [cold runner]</t>
  </si>
  <si>
    <t>阀针直径  I  浇口直径（冷流道）</t>
  </si>
  <si>
    <t>Priemer ihly HK  I  priemer vtoku [pri studených kanáloch]</t>
  </si>
  <si>
    <t>per Hand</t>
  </si>
  <si>
    <t>automatisiert [per Roboter / Greifer]</t>
  </si>
  <si>
    <t>by hand</t>
  </si>
  <si>
    <t>automaticly [by robot / gripper]</t>
  </si>
  <si>
    <t>free falling [shoot and ship parts]</t>
  </si>
  <si>
    <t>i107 / i114</t>
  </si>
  <si>
    <t>i114</t>
  </si>
  <si>
    <t>Sortig out of start-up parts and NOK parts</t>
  </si>
  <si>
    <t>Aussortierung von Anfahrteilen und NIO-Teilen</t>
  </si>
  <si>
    <t>Angussanzahl je Bauteil / Düsenanzahl im Werkzeug</t>
  </si>
  <si>
    <t>Number of gates per part / nozzels per mold</t>
  </si>
  <si>
    <t>i108 / i114</t>
  </si>
  <si>
    <t>Arburg</t>
  </si>
  <si>
    <t>Babyplast</t>
  </si>
  <si>
    <t>Battenfeld</t>
  </si>
  <si>
    <t>BOY</t>
  </si>
  <si>
    <t>CINCINNATI [MILACRON]</t>
  </si>
  <si>
    <t>COMI</t>
  </si>
  <si>
    <t>DEKUMA</t>
  </si>
  <si>
    <t>ENGEL</t>
  </si>
  <si>
    <t>FANUC</t>
  </si>
  <si>
    <t>HAITIAN</t>
  </si>
  <si>
    <t>HUARONG GROUP</t>
  </si>
  <si>
    <t>HUSKY</t>
  </si>
  <si>
    <t>KraussMaffei</t>
  </si>
  <si>
    <t>LANSON</t>
  </si>
  <si>
    <t>MILACRON</t>
  </si>
  <si>
    <t>NEGRI BOSSI</t>
  </si>
  <si>
    <t>Powerjet</t>
  </si>
  <si>
    <t>rep</t>
  </si>
  <si>
    <t>SANTSAI</t>
  </si>
  <si>
    <t>ShibauraMachine</t>
  </si>
  <si>
    <t>SONLY</t>
  </si>
  <si>
    <t>Sumitomo / DEMAG</t>
  </si>
  <si>
    <t>WINTEC</t>
  </si>
  <si>
    <t>Wittmann</t>
  </si>
  <si>
    <t>YIZUMI</t>
  </si>
  <si>
    <t>Wasser</t>
  </si>
  <si>
    <t>Water</t>
  </si>
  <si>
    <t>Öl</t>
  </si>
  <si>
    <t>Oil</t>
  </si>
  <si>
    <t>Luft</t>
  </si>
  <si>
    <t>Air</t>
  </si>
  <si>
    <t>CO2</t>
  </si>
  <si>
    <t>Carbon dioxide</t>
  </si>
  <si>
    <t>Variothermes System</t>
  </si>
  <si>
    <t>Variothermal system</t>
  </si>
  <si>
    <t>Heizelemente</t>
  </si>
  <si>
    <t>Heating elements</t>
  </si>
  <si>
    <t>Temperiermedium</t>
  </si>
  <si>
    <t>Temperature control medium</t>
  </si>
  <si>
    <t>i103 / i114</t>
  </si>
  <si>
    <t>Release</t>
  </si>
  <si>
    <t>Index 102</t>
  </si>
  <si>
    <t>Basis ist die Grundversion i114</t>
  </si>
  <si>
    <t>Auswahl Maschinenhersteller</t>
  </si>
  <si>
    <t>Auswahl Temperiermedium primär</t>
  </si>
  <si>
    <t>Auswahl Temperiermedium sekundär</t>
  </si>
  <si>
    <t>11.1</t>
  </si>
  <si>
    <t>78.1</t>
  </si>
  <si>
    <t>78.2</t>
  </si>
  <si>
    <t>i114 i103_2K</t>
  </si>
  <si>
    <t>Dosiergerät</t>
  </si>
  <si>
    <t>Hand</t>
  </si>
  <si>
    <t>hand</t>
  </si>
  <si>
    <t>dispensing unit</t>
  </si>
  <si>
    <t xml:space="preserve">primär </t>
  </si>
  <si>
    <t xml:space="preserve">sekundär </t>
  </si>
  <si>
    <t xml:space="preserve">secondary </t>
  </si>
  <si>
    <t xml:space="preserve">primary </t>
  </si>
  <si>
    <t>Injection Work</t>
  </si>
  <si>
    <t>注射工作</t>
  </si>
  <si>
    <t>109 110 111  Prozessüberwachung</t>
  </si>
  <si>
    <t>11.1 Maschinenhersteller</t>
  </si>
  <si>
    <t>78.1  78.2  Temperiermedium</t>
  </si>
  <si>
    <t>Auswahl Zudosierung 1</t>
  </si>
  <si>
    <t>Auswahl Zudosierung 2</t>
  </si>
  <si>
    <t>Auswahl Zudosierung 3</t>
  </si>
  <si>
    <t>100.1</t>
  </si>
  <si>
    <t>100.2</t>
  </si>
  <si>
    <t>100.3</t>
  </si>
  <si>
    <t>101.1</t>
  </si>
  <si>
    <t>101.2</t>
  </si>
  <si>
    <t>101.3</t>
  </si>
  <si>
    <t>初级的</t>
  </si>
  <si>
    <t>Hlavný</t>
  </si>
  <si>
    <t>中级的</t>
  </si>
  <si>
    <t>Sekundárny</t>
  </si>
  <si>
    <t>每个零件的注口数量和模具的喷嘴数量</t>
  </si>
  <si>
    <t>Počet vtokových ústí / trysiek formy</t>
  </si>
  <si>
    <t>区分开启动零件和不合格零件</t>
  </si>
  <si>
    <t>Vytriedenie nábehových a NOK dielov</t>
  </si>
  <si>
    <t>中等温控</t>
  </si>
  <si>
    <t>Médium ovládania teploty</t>
  </si>
  <si>
    <t>Angussgewicht gesamt</t>
  </si>
  <si>
    <t>Total sprue weight</t>
  </si>
  <si>
    <t>注塑部分的总重量</t>
  </si>
  <si>
    <t>Celková hmotnosť vtokov</t>
  </si>
  <si>
    <t>Angussgewicht je Bauteil</t>
  </si>
  <si>
    <t>Sprue weigt per part</t>
  </si>
  <si>
    <t>零件的注塑重量</t>
  </si>
  <si>
    <t>Hmotnosť vtoku jedného dielu</t>
  </si>
  <si>
    <t>自动的</t>
  </si>
  <si>
    <t>Automaticky (robotom)</t>
  </si>
  <si>
    <t>用手</t>
  </si>
  <si>
    <t>Ručne</t>
  </si>
  <si>
    <t>随意降落</t>
  </si>
  <si>
    <t xml:space="preserve">Voľne padajúce </t>
  </si>
  <si>
    <t>水</t>
  </si>
  <si>
    <t>Voda</t>
  </si>
  <si>
    <t xml:space="preserve">油 </t>
  </si>
  <si>
    <t>Olej</t>
  </si>
  <si>
    <t>空气</t>
  </si>
  <si>
    <t>Vzduch</t>
  </si>
  <si>
    <t>二氧化碳</t>
  </si>
  <si>
    <t>Oxid uhličitý</t>
  </si>
  <si>
    <t>变温系统</t>
  </si>
  <si>
    <t>Variotherm systém</t>
  </si>
  <si>
    <t>加热成分</t>
  </si>
  <si>
    <t>Výhrevné prvky</t>
  </si>
  <si>
    <t>Index 103</t>
  </si>
  <si>
    <t>Entfall der Rückfragen zu Temperiergeräten, dafür Abfrage des Temperiermediums</t>
  </si>
  <si>
    <t>Maschinenhersteller - Auswahlmenü</t>
  </si>
  <si>
    <t>-</t>
  </si>
  <si>
    <t xml:space="preserve">neu: Auswahlfeld für Maschinenhersteller </t>
  </si>
  <si>
    <t>bedingte Formatierung der Nachkommastellen</t>
  </si>
  <si>
    <t>neu: Auswahl Temperiermedium (primär und sekundär)</t>
  </si>
  <si>
    <t>Differenzierung Nadeldurchmesser / Anschnittdurchmesser</t>
  </si>
  <si>
    <t>"Aussortierung von Anfahrteilen"</t>
  </si>
  <si>
    <t>Notizen zum Werkzeugstahl: "Kavität" erläutert</t>
  </si>
  <si>
    <t>Angussanzahl je Bauteil / Düsenanzahl je Werkzeug</t>
  </si>
  <si>
    <t>Werteübergabe in der Auswertung hinzugeführt - geänderte Werte + Übernahme zeigt immer direkt die Veränderungen.</t>
  </si>
  <si>
    <t>138.L</t>
  </si>
  <si>
    <t>138.N</t>
  </si>
  <si>
    <t>140.N</t>
  </si>
  <si>
    <t>140.L</t>
  </si>
  <si>
    <t>146.N</t>
  </si>
  <si>
    <t>146.L</t>
  </si>
  <si>
    <t>i115 / i104 (2K)</t>
  </si>
  <si>
    <t>i114 i104_2K</t>
  </si>
  <si>
    <t xml:space="preserve"> 注塑成型 多种材料零件</t>
  </si>
  <si>
    <t>TCL</t>
  </si>
  <si>
    <t xml:space="preserve"> 2K / 3K Bauteile</t>
  </si>
  <si>
    <t xml:space="preserve"> Multi Components (2K / 3K)</t>
  </si>
  <si>
    <t xml:space="preserve"> 2K / 3K Komponenty</t>
  </si>
  <si>
    <t xml:space="preserve"> Werkzeug- und Prozessdaten - Spritzgießen</t>
  </si>
  <si>
    <t xml:space="preserve"> 模具&amp;工艺参数表</t>
  </si>
  <si>
    <t xml:space="preserve"> Mold and Process Data Sheet Injection Molding</t>
  </si>
  <si>
    <t xml:space="preserve"> Parametrová Sada - Vstrekovanie </t>
  </si>
  <si>
    <t>i117 / i105 2K</t>
  </si>
  <si>
    <t>Entformungsmittel</t>
  </si>
  <si>
    <t>Demolding agent</t>
  </si>
  <si>
    <t xml:space="preserve">Gleitmittel </t>
  </si>
  <si>
    <t>Lubricant masterbatch</t>
  </si>
  <si>
    <t>Kombi-Masterbatch</t>
  </si>
  <si>
    <t>Combined masterbatch</t>
  </si>
  <si>
    <t>340…360</t>
  </si>
  <si>
    <t>Verweisbereich Zusatzzeilen mit Index i117 &amp; i105 2K/3K</t>
  </si>
  <si>
    <t xml:space="preserve"> i105 2K</t>
  </si>
  <si>
    <t>Batch-Typ</t>
  </si>
  <si>
    <t>Additiv / Masterbatch im Einsatz?</t>
  </si>
  <si>
    <t>Use of additives / materbatches?</t>
  </si>
  <si>
    <t>Einfärbung mittels Masterbatch</t>
  </si>
  <si>
    <t>Coloring with masterbatch</t>
  </si>
  <si>
    <t>Chemisches Treibmittel</t>
  </si>
  <si>
    <t>Chemical foaming agent</t>
  </si>
  <si>
    <t>Ist nachfolgend ein PUR-Schaumauftrag vorgesehen?</t>
  </si>
  <si>
    <t>Is PUR-foam applied afterwards?</t>
  </si>
  <si>
    <t>Ist dieser Prozess mit dem Spritzguss verkettet?</t>
  </si>
  <si>
    <t>Is this process linked to the injection moulding process?</t>
  </si>
  <si>
    <t>i117</t>
  </si>
  <si>
    <t>Sequentielle Füllung / Kaskade eingestellt?</t>
  </si>
  <si>
    <t>Sequential filling / Cascade mode enabled?</t>
  </si>
  <si>
    <t>是否使用添加剂/色母？</t>
  </si>
  <si>
    <t>采用色母粒进行配色</t>
  </si>
  <si>
    <t>化学发泡剂</t>
  </si>
  <si>
    <t>脱模剂</t>
  </si>
  <si>
    <t>含有润滑剂成分的功能母粒</t>
  </si>
  <si>
    <t>色母与添加剂复合母粒</t>
  </si>
  <si>
    <t>PUR发泡工艺是在注塑之后进行的吗？</t>
  </si>
  <si>
    <t>这个工艺与注塑成型工艺有关联吗？</t>
  </si>
  <si>
    <t>是否使用了顺序填充/级联浇口控制？</t>
  </si>
  <si>
    <t>Použitie aditív / farbív?</t>
  </si>
  <si>
    <t>Farbenie pomocov farbív</t>
  </si>
  <si>
    <t>Chemické nadúvadlo</t>
  </si>
  <si>
    <t>Odformovacie činidlo</t>
  </si>
  <si>
    <t>Lubrikanty</t>
  </si>
  <si>
    <t>Kombinované farbivá</t>
  </si>
  <si>
    <t>Aplikuje sa PUR pena dodatočne?</t>
  </si>
  <si>
    <t>Je tento proces spojený s procesom vstrekovania?</t>
  </si>
  <si>
    <t>Sekvenčné plnenie / Kaskádový režim aktivovaný?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</si>
</sst>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_-;\-* #,##0.00\ _€_-;_-* &quot;-&quot;??\ _€_-;_-@_-"/>
    <numFmt numFmtId="165" formatCode="dd/mm/yy;@"/>
    <numFmt numFmtId="166" formatCode="#,##0.0"/>
    <numFmt numFmtId="167" formatCode="0.0"/>
    <numFmt numFmtId="168" formatCode="0.0%"/>
  </numFmts>
  <fonts count="166" x14ac:knownFonts="1">
    <font>
      <sz val="10"/>
      <name val="Univers"/>
    </font>
    <font>
      <sz val="10"/>
      <color theme="1"/>
      <name val="Univers"/>
      <family val="2"/>
    </font>
    <font>
      <sz val="10"/>
      <color theme="1"/>
      <name val="Univers"/>
      <family val="2"/>
    </font>
    <font>
      <sz val="10"/>
      <color theme="1"/>
      <name val="Univers"/>
      <family val="2"/>
    </font>
    <font>
      <sz val="10"/>
      <color theme="1"/>
      <name val="Univers"/>
      <family val="2"/>
    </font>
    <font>
      <sz val="10"/>
      <name val="Univers"/>
      <family val="2"/>
    </font>
    <font>
      <sz val="10"/>
      <name val="Arial"/>
      <family val="2"/>
    </font>
    <font>
      <sz val="8"/>
      <name val="Univers"/>
      <family val="2"/>
    </font>
    <font>
      <sz val="8"/>
      <name val="Arial"/>
      <family val="2"/>
    </font>
    <font>
      <sz val="12"/>
      <name val="Times New Roman"/>
      <family val="1"/>
    </font>
    <font>
      <sz val="14"/>
      <name val="Univers"/>
      <family val="2"/>
    </font>
    <font>
      <b/>
      <sz val="12"/>
      <color rgb="FF000000"/>
      <name val="Arial"/>
      <family val="2"/>
    </font>
    <font>
      <sz val="11"/>
      <name val="Bahnschrift SemiLight SemiConde"/>
      <family val="2"/>
    </font>
    <font>
      <sz val="11"/>
      <color theme="0"/>
      <name val="Bahnschrift SemiLight SemiConde"/>
      <family val="2"/>
    </font>
    <font>
      <sz val="10"/>
      <name val="Bahnschrift SemiLight SemiConde"/>
      <family val="2"/>
    </font>
    <font>
      <sz val="14"/>
      <color theme="0"/>
      <name val="Bahnschrift SemiLight SemiConde"/>
      <family val="2"/>
    </font>
    <font>
      <sz val="12"/>
      <name val="Bahnschrift SemiLight SemiConde"/>
      <family val="2"/>
    </font>
    <font>
      <sz val="14"/>
      <name val="Bahnschrift SemiLight SemiConde"/>
      <family val="2"/>
    </font>
    <font>
      <sz val="11"/>
      <color rgb="FFC00000"/>
      <name val="Bahnschrift SemiLight SemiConde"/>
      <family val="2"/>
    </font>
    <font>
      <sz val="12"/>
      <color indexed="10"/>
      <name val="Bahnschrift SemiLight SemiConde"/>
      <family val="2"/>
    </font>
    <font>
      <b/>
      <sz val="11"/>
      <color indexed="10"/>
      <name val="Bahnschrift SemiLight SemiConde"/>
      <family val="2"/>
    </font>
    <font>
      <sz val="11"/>
      <color indexed="9"/>
      <name val="Bahnschrift SemiLight SemiConde"/>
      <family val="2"/>
    </font>
    <font>
      <b/>
      <sz val="11"/>
      <name val="Bahnschrift SemiLight SemiConde"/>
      <family val="2"/>
    </font>
    <font>
      <sz val="14"/>
      <color rgb="FFC00000"/>
      <name val="Bahnschrift SemiLight SemiConde"/>
      <family val="2"/>
    </font>
    <font>
      <sz val="11"/>
      <color indexed="63"/>
      <name val="Bahnschrift SemiLight SemiConde"/>
      <family val="2"/>
    </font>
    <font>
      <sz val="11"/>
      <color indexed="10"/>
      <name val="Bahnschrift SemiLight SemiConde"/>
      <family val="2"/>
    </font>
    <font>
      <sz val="11"/>
      <color indexed="12"/>
      <name val="Bahnschrift SemiLight SemiConde"/>
      <family val="2"/>
    </font>
    <font>
      <sz val="11"/>
      <color indexed="8"/>
      <name val="Bahnschrift SemiLight SemiConde"/>
      <family val="2"/>
    </font>
    <font>
      <sz val="11"/>
      <color theme="1" tint="0.249977111117893"/>
      <name val="Bahnschrift SemiLight SemiConde"/>
      <family val="2"/>
    </font>
    <font>
      <sz val="11"/>
      <color rgb="FF0070C0"/>
      <name val="Bahnschrift SemiLight SemiConde"/>
      <family val="2"/>
    </font>
    <font>
      <sz val="11"/>
      <color rgb="FFFFC000"/>
      <name val="Bahnschrift SemiLight SemiConde"/>
      <family val="2"/>
    </font>
    <font>
      <sz val="11"/>
      <color theme="9"/>
      <name val="Bahnschrift SemiLight SemiConde"/>
      <family val="2"/>
    </font>
    <font>
      <sz val="12"/>
      <color theme="0"/>
      <name val="Bahnschrift SemiLight SemiConde"/>
      <family val="2"/>
    </font>
    <font>
      <sz val="11"/>
      <color theme="0" tint="-0.14999847407452621"/>
      <name val="Bahnschrift SemiLight SemiConde"/>
      <family val="2"/>
    </font>
    <font>
      <b/>
      <sz val="10"/>
      <name val="Bahnschrift SemiLight SemiConde"/>
      <family val="2"/>
    </font>
    <font>
      <sz val="10"/>
      <color rgb="FFC00000"/>
      <name val="Bahnschrift SemiLight SemiConde"/>
      <family val="2"/>
    </font>
    <font>
      <sz val="10"/>
      <color indexed="10"/>
      <name val="Bahnschrift SemiLight SemiConde"/>
      <family val="2"/>
    </font>
    <font>
      <sz val="10"/>
      <color theme="0"/>
      <name val="Bahnschrift SemiLight SemiConde"/>
      <family val="2"/>
    </font>
    <font>
      <sz val="10"/>
      <color indexed="8"/>
      <name val="Bahnschrift SemiLight SemiConde"/>
      <family val="2"/>
    </font>
    <font>
      <sz val="14"/>
      <color indexed="9"/>
      <name val="Bahnschrift SemiLight SemiConde"/>
      <family val="2"/>
    </font>
    <font>
      <sz val="14"/>
      <color rgb="FFFF0000"/>
      <name val="Bahnschrift SemiLight SemiConde"/>
      <family val="2"/>
    </font>
    <font>
      <sz val="14"/>
      <color indexed="19"/>
      <name val="Bahnschrift SemiLight SemiConde"/>
      <family val="2"/>
    </font>
    <font>
      <sz val="14"/>
      <color indexed="10"/>
      <name val="Bahnschrift SemiLight SemiConde"/>
      <family val="2"/>
    </font>
    <font>
      <sz val="14"/>
      <color indexed="8"/>
      <name val="Bahnschrift SemiLight SemiConde"/>
      <family val="2"/>
    </font>
    <font>
      <sz val="14"/>
      <color indexed="23"/>
      <name val="Bahnschrift SemiLight SemiConde"/>
      <family val="2"/>
    </font>
    <font>
      <sz val="14"/>
      <color theme="0" tint="-0.249977111117893"/>
      <name val="Bahnschrift SemiLight SemiConde"/>
      <family val="2"/>
    </font>
    <font>
      <sz val="14"/>
      <color theme="1"/>
      <name val="Bahnschrift SemiLight SemiConde"/>
      <family val="2"/>
    </font>
    <font>
      <sz val="22"/>
      <name val="Bahnschrift SemiLight SemiConde"/>
      <family val="2"/>
    </font>
    <font>
      <sz val="16"/>
      <name val="Bahnschrift SemiLight SemiConde"/>
      <family val="2"/>
    </font>
    <font>
      <b/>
      <sz val="12"/>
      <color theme="0"/>
      <name val="Bahnschrift SemiLight SemiConde"/>
      <family val="2"/>
    </font>
    <font>
      <i/>
      <sz val="11"/>
      <name val="Bahnschrift SemiLight SemiConde"/>
      <family val="2"/>
    </font>
    <font>
      <sz val="10"/>
      <color indexed="12"/>
      <name val="Bahnschrift SemiLight SemiConde"/>
      <family val="2"/>
    </font>
    <font>
      <sz val="12"/>
      <color rgb="FFFFC000"/>
      <name val="Bahnschrift SemiLight SemiConde"/>
      <family val="2"/>
    </font>
    <font>
      <sz val="12"/>
      <color theme="4" tint="0.79998168889431442"/>
      <name val="Bahnschrift SemiLight SemiConde"/>
      <family val="2"/>
    </font>
    <font>
      <sz val="10"/>
      <color theme="4" tint="0.79998168889431442"/>
      <name val="Bahnschrift SemiLight SemiConde"/>
      <family val="2"/>
    </font>
    <font>
      <sz val="12"/>
      <color theme="4" tint="0.59999389629810485"/>
      <name val="Bahnschrift SemiLight SemiConde"/>
      <family val="2"/>
    </font>
    <font>
      <sz val="10"/>
      <color theme="4" tint="0.59999389629810485"/>
      <name val="Bahnschrift SemiLight SemiConde"/>
      <family val="2"/>
    </font>
    <font>
      <sz val="12"/>
      <color theme="4" tint="0.39997558519241921"/>
      <name val="Bahnschrift SemiLight SemiConde"/>
      <family val="2"/>
    </font>
    <font>
      <sz val="10"/>
      <color theme="4" tint="0.39997558519241921"/>
      <name val="Bahnschrift SemiLight SemiConde"/>
      <family val="2"/>
    </font>
    <font>
      <b/>
      <sz val="16"/>
      <color rgb="FFC00000"/>
      <name val="Bahnschrift SemiLight SemiConde"/>
      <family val="2"/>
    </font>
    <font>
      <sz val="11"/>
      <color theme="3" tint="0.39997558519241921"/>
      <name val="Bahnschrift SemiLight SemiConde"/>
      <family val="2"/>
    </font>
    <font>
      <sz val="12"/>
      <name val="Univers"/>
      <family val="2"/>
    </font>
    <font>
      <sz val="16"/>
      <name val="Univers"/>
      <family val="2"/>
    </font>
    <font>
      <sz val="12"/>
      <color rgb="FFFF0000"/>
      <name val="Univers"/>
      <family val="2"/>
    </font>
    <font>
      <b/>
      <sz val="10"/>
      <name val="Univers"/>
      <family val="2"/>
    </font>
    <font>
      <i/>
      <sz val="10"/>
      <name val="Univers"/>
      <family val="2"/>
    </font>
    <font>
      <sz val="11"/>
      <name val="Univers"/>
      <family val="2"/>
    </font>
    <font>
      <i/>
      <sz val="9"/>
      <color rgb="FFC00000"/>
      <name val="Univers"/>
      <family val="2"/>
    </font>
    <font>
      <sz val="9"/>
      <name val="Univers"/>
      <family val="2"/>
    </font>
    <font>
      <sz val="10"/>
      <color indexed="19"/>
      <name val="Univers"/>
      <family val="2"/>
    </font>
    <font>
      <i/>
      <sz val="10"/>
      <color rgb="FFC00000"/>
      <name val="Univers"/>
      <family val="2"/>
    </font>
    <font>
      <b/>
      <sz val="12"/>
      <name val="Univers"/>
      <family val="2"/>
    </font>
    <font>
      <sz val="10"/>
      <color indexed="9"/>
      <name val="Univers"/>
      <family val="2"/>
    </font>
    <font>
      <sz val="11"/>
      <color theme="0"/>
      <name val="Univers"/>
      <family val="2"/>
    </font>
    <font>
      <sz val="10"/>
      <color theme="0" tint="-0.499984740745262"/>
      <name val="Univers"/>
      <family val="2"/>
    </font>
    <font>
      <sz val="12"/>
      <color indexed="19"/>
      <name val="Univers"/>
      <family val="2"/>
    </font>
    <font>
      <sz val="12"/>
      <color theme="0"/>
      <name val="Univers"/>
      <family val="2"/>
    </font>
    <font>
      <sz val="11"/>
      <color indexed="8"/>
      <name val="Univers"/>
      <family val="2"/>
    </font>
    <font>
      <sz val="9"/>
      <color indexed="8"/>
      <name val="Univers"/>
      <family val="2"/>
    </font>
    <font>
      <sz val="9"/>
      <color theme="0" tint="-0.499984740745262"/>
      <name val="Univers"/>
      <family val="2"/>
    </font>
    <font>
      <sz val="10"/>
      <color rgb="FFFFFF99"/>
      <name val="Univers"/>
      <family val="2"/>
    </font>
    <font>
      <sz val="9"/>
      <color theme="1"/>
      <name val="Univers"/>
      <family val="2"/>
    </font>
    <font>
      <b/>
      <sz val="14"/>
      <name val="Univers"/>
      <family val="2"/>
    </font>
    <font>
      <sz val="10"/>
      <color indexed="8"/>
      <name val="Univers"/>
      <family val="2"/>
    </font>
    <font>
      <sz val="11"/>
      <color rgb="FFC00000"/>
      <name val="Univers"/>
      <family val="2"/>
    </font>
    <font>
      <vertAlign val="superscript"/>
      <sz val="10"/>
      <color theme="1"/>
      <name val="Univers"/>
      <family val="2"/>
    </font>
    <font>
      <sz val="8"/>
      <color rgb="FFC00000"/>
      <name val="Univers"/>
      <family val="2"/>
    </font>
    <font>
      <sz val="10"/>
      <color theme="9" tint="-0.249977111117893"/>
      <name val="Univers"/>
      <family val="2"/>
    </font>
    <font>
      <sz val="9"/>
      <color rgb="FFC00000"/>
      <name val="Univers"/>
      <family val="2"/>
    </font>
    <font>
      <sz val="9"/>
      <color theme="0" tint="-0.34998626667073579"/>
      <name val="Univers"/>
      <family val="2"/>
    </font>
    <font>
      <sz val="9"/>
      <color indexed="9"/>
      <name val="Univers"/>
      <family val="2"/>
    </font>
    <font>
      <sz val="9"/>
      <color indexed="19"/>
      <name val="Univers"/>
      <family val="2"/>
    </font>
    <font>
      <sz val="16"/>
      <color indexed="8"/>
      <name val="Univers"/>
      <family val="2"/>
    </font>
    <font>
      <sz val="7"/>
      <name val="Univers"/>
      <family val="2"/>
    </font>
    <font>
      <b/>
      <sz val="11"/>
      <name val="Univers"/>
      <family val="2"/>
    </font>
    <font>
      <sz val="12"/>
      <color indexed="9"/>
      <name val="Bahnschrift SemiLight SemiConde"/>
      <family val="2"/>
    </font>
    <font>
      <b/>
      <sz val="10"/>
      <name val="Arial"/>
      <family val="2"/>
    </font>
    <font>
      <sz val="16"/>
      <name val="Wingdings 3"/>
      <family val="1"/>
      <charset val="2"/>
    </font>
    <font>
      <sz val="12"/>
      <color theme="8" tint="-0.499984740745262"/>
      <name val="Bahnschrift SemiLight SemiConde"/>
      <family val="2"/>
    </font>
    <font>
      <b/>
      <sz val="12"/>
      <name val="Bahnschrift SemiLight SemiConde"/>
      <family val="2"/>
    </font>
    <font>
      <sz val="14"/>
      <name val="Arial"/>
      <family val="2"/>
    </font>
    <font>
      <sz val="12"/>
      <color theme="0" tint="-0.499984740745262"/>
      <name val="Bahnschrift SemiLight SemiConde"/>
      <family val="2"/>
    </font>
    <font>
      <sz val="14"/>
      <color theme="1" tint="0.499984740745262"/>
      <name val="Bahnschrift SemiLight SemiConde"/>
      <family val="2"/>
    </font>
    <font>
      <sz val="14"/>
      <color theme="1" tint="0.34998626667073579"/>
      <name val="Bahnschrift SemiLight SemiConde"/>
      <family val="2"/>
    </font>
    <font>
      <b/>
      <sz val="12"/>
      <name val="Arial"/>
      <family val="2"/>
    </font>
    <font>
      <sz val="14"/>
      <color theme="1" tint="0.249977111117893"/>
      <name val="Bahnschrift SemiLight SemiConde"/>
      <family val="2"/>
    </font>
    <font>
      <sz val="10"/>
      <color theme="8" tint="-0.499984740745262"/>
      <name val="Bahnschrift SemiLight SemiConde"/>
      <family val="2"/>
    </font>
    <font>
      <sz val="12"/>
      <name val="Arial"/>
      <family val="2"/>
    </font>
    <font>
      <sz val="12"/>
      <color theme="1" tint="0.499984740745262"/>
      <name val="Arial"/>
      <family val="2"/>
    </font>
    <font>
      <sz val="12"/>
      <color theme="1" tint="0.499984740745262"/>
      <name val="Bahnschrift SemiLight SemiConde"/>
      <family val="2"/>
    </font>
    <font>
      <sz val="12"/>
      <color theme="1" tint="0.34998626667073579"/>
      <name val="Bahnschrift SemiLight SemiConde"/>
      <family val="2"/>
    </font>
    <font>
      <sz val="9"/>
      <color indexed="8"/>
      <name val="Arial"/>
      <family val="2"/>
    </font>
    <font>
      <sz val="12"/>
      <color theme="4" tint="-0.499984740745262"/>
      <name val="Bahnschrift SemiLight SemiConde"/>
      <family val="2"/>
    </font>
    <font>
      <sz val="9"/>
      <name val="Arial"/>
      <family val="2"/>
    </font>
    <font>
      <sz val="10"/>
      <color theme="0" tint="-0.499984740745262"/>
      <name val="Bahnschrift SemiLight SemiConde"/>
      <family val="2"/>
    </font>
    <font>
      <sz val="12"/>
      <color indexed="8"/>
      <name val="Bahnschrift SemiLight SemiConde"/>
      <family val="2"/>
    </font>
    <font>
      <sz val="18"/>
      <color rgb="FFC00000"/>
      <name val="Bahnschrift SemiLight SemiConde"/>
      <family val="2"/>
    </font>
    <font>
      <sz val="11"/>
      <name val="Arial"/>
      <family val="2"/>
    </font>
    <font>
      <sz val="18"/>
      <name val="Arial"/>
      <family val="2"/>
    </font>
    <font>
      <sz val="11"/>
      <color indexed="8"/>
      <name val="Arial"/>
      <family val="2"/>
    </font>
    <font>
      <sz val="10"/>
      <color indexed="8"/>
      <name val="Arial"/>
      <family val="2"/>
    </font>
    <font>
      <sz val="8"/>
      <color theme="0"/>
      <name val="Arial"/>
      <family val="2"/>
    </font>
    <font>
      <sz val="10"/>
      <color theme="0"/>
      <name val="Arial"/>
      <family val="2"/>
    </font>
    <font>
      <sz val="11"/>
      <color theme="0" tint="-0.499984740745262"/>
      <name val="Bahnschrift SemiLight SemiConde"/>
      <family val="2"/>
    </font>
    <font>
      <sz val="8"/>
      <color indexed="9"/>
      <name val="Arial"/>
      <family val="2"/>
    </font>
    <font>
      <sz val="10"/>
      <color indexed="9"/>
      <name val="Arial"/>
      <family val="2"/>
    </font>
    <font>
      <sz val="12"/>
      <color indexed="19"/>
      <name val="Arial"/>
      <family val="2"/>
    </font>
    <font>
      <sz val="14"/>
      <color indexed="17"/>
      <name val="Bahnschrift SemiLight SemiConde"/>
      <family val="2"/>
    </font>
    <font>
      <sz val="9"/>
      <color indexed="8"/>
      <name val="Bahnschrift SemiLight SemiConde"/>
      <family val="2"/>
    </font>
    <font>
      <sz val="9"/>
      <name val="Bahnschrift SemiLight SemiConde"/>
      <family val="2"/>
    </font>
    <font>
      <sz val="10"/>
      <color indexed="55"/>
      <name val="Bahnschrift SemiLight SemiConde"/>
      <family val="2"/>
    </font>
    <font>
      <b/>
      <sz val="9"/>
      <name val="Arial"/>
      <family val="2"/>
    </font>
    <font>
      <sz val="12"/>
      <color indexed="11"/>
      <name val="Arial"/>
      <family val="2"/>
    </font>
    <font>
      <sz val="9"/>
      <color indexed="19"/>
      <name val="Arial"/>
      <family val="2"/>
    </font>
    <font>
      <sz val="10"/>
      <color indexed="19"/>
      <name val="Arial"/>
      <family val="2"/>
    </font>
    <font>
      <sz val="14"/>
      <color indexed="8"/>
      <name val="Arial"/>
      <family val="2"/>
    </font>
    <font>
      <sz val="18"/>
      <color theme="8" tint="-0.249977111117893"/>
      <name val="Bahnschrift SemiLight SemiConde"/>
      <family val="2"/>
    </font>
    <font>
      <sz val="14"/>
      <color indexed="52"/>
      <name val="Bahnschrift SemiLight SemiConde"/>
      <family val="2"/>
    </font>
    <font>
      <sz val="12"/>
      <color rgb="FFC00000"/>
      <name val="Bahnschrift SemiLight SemiConde"/>
      <family val="2"/>
    </font>
    <font>
      <vertAlign val="superscript"/>
      <sz val="11"/>
      <color theme="0" tint="-0.499984740745262"/>
      <name val="Bahnschrift SemiLight SemiConde"/>
      <family val="2"/>
    </font>
    <font>
      <sz val="12"/>
      <color theme="0" tint="-0.249977111117893"/>
      <name val="Bahnschrift SemiLight SemiConde"/>
      <family val="2"/>
    </font>
    <font>
      <sz val="12"/>
      <color theme="0" tint="-0.34998626667073579"/>
      <name val="Bahnschrift SemiLight SemiConde"/>
      <family val="2"/>
    </font>
    <font>
      <sz val="14"/>
      <color theme="0" tint="-0.34998626667073579"/>
      <name val="Arial"/>
      <family val="2"/>
    </font>
    <font>
      <sz val="18"/>
      <color theme="0"/>
      <name val="Bahnschrift SemiLight SemiConde"/>
      <family val="2"/>
    </font>
    <font>
      <sz val="14"/>
      <color theme="0" tint="-0.34998626667073579"/>
      <name val="Bahnschrift SemiLight SemiConde"/>
      <family val="2"/>
    </font>
    <font>
      <sz val="10"/>
      <color theme="0" tint="-0.34998626667073579"/>
      <name val="Arial"/>
      <family val="2"/>
    </font>
    <font>
      <sz val="18"/>
      <color rgb="FF7030A0"/>
      <name val="Bahnschrift SemiLight SemiConde"/>
      <family val="2"/>
    </font>
    <font>
      <sz val="18"/>
      <color theme="9" tint="-0.249977111117893"/>
      <name val="Bahnschrift SemiLight SemiConde"/>
      <family val="2"/>
    </font>
    <font>
      <sz val="72"/>
      <color theme="0"/>
      <name val="Bahnschrift SemiLight SemiConde"/>
      <family val="2"/>
    </font>
    <font>
      <sz val="36"/>
      <name val="Bahnschrift SemiLight SemiConde"/>
      <family val="2"/>
    </font>
    <font>
      <sz val="24"/>
      <name val="Bahnschrift SemiLight SemiConde"/>
      <family val="2"/>
    </font>
    <font>
      <sz val="24"/>
      <color theme="0"/>
      <name val="Bahnschrift SemiLight SemiConde"/>
      <family val="2"/>
    </font>
    <font>
      <sz val="9"/>
      <color theme="1" tint="0.34998626667073579"/>
      <name val="Univers"/>
      <family val="2"/>
    </font>
    <font>
      <i/>
      <sz val="10"/>
      <name val="Bahnschrift SemiLight SemiConde"/>
      <family val="2"/>
    </font>
    <font>
      <b/>
      <sz val="12"/>
      <color rgb="FFC00000"/>
      <name val="Univers"/>
      <family val="2"/>
    </font>
    <font>
      <vertAlign val="superscript"/>
      <sz val="11"/>
      <name val="Bahnschrift SemiLight SemiConde"/>
      <family val="2"/>
    </font>
    <font>
      <sz val="11"/>
      <color theme="0" tint="-0.34998626667073579"/>
      <name val="Bahnschrift SemiLight SemiConde"/>
      <family val="2"/>
    </font>
    <font>
      <b/>
      <sz val="11"/>
      <name val="Arial"/>
      <family val="2"/>
    </font>
    <font>
      <sz val="16"/>
      <name val="Arial"/>
      <family val="2"/>
    </font>
    <font>
      <sz val="10"/>
      <color indexed="81"/>
      <name val="Segoe UI"/>
      <family val="2"/>
    </font>
    <font>
      <sz val="8"/>
      <name val="Univers"/>
      <family val="2"/>
    </font>
    <font>
      <b/>
      <sz val="16"/>
      <name val="Univers"/>
      <family val="2"/>
    </font>
    <font>
      <b/>
      <sz val="12"/>
      <color theme="0" tint="-0.34998626667073579"/>
      <name val="Univers"/>
      <family val="2"/>
    </font>
    <font>
      <b/>
      <sz val="24"/>
      <name val="Univers"/>
      <family val="2"/>
    </font>
    <font>
      <sz val="10"/>
      <color rgb="FFC00000"/>
      <name val="Arial"/>
      <family val="2"/>
    </font>
    <font>
      <sz val="10"/>
      <color indexed="12"/>
      <name val="Arial"/>
      <family val="2"/>
    </font>
  </fonts>
  <fills count="3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2"/>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0" tint="-4.9989318521683403E-2"/>
        <bgColor indexed="64"/>
      </patternFill>
    </fill>
    <fill>
      <patternFill patternType="solid">
        <fgColor theme="1" tint="0.24994659260841701"/>
        <bgColor indexed="64"/>
      </patternFill>
    </fill>
    <fill>
      <patternFill patternType="solid">
        <fgColor rgb="FFC00000"/>
        <bgColor indexed="64"/>
      </patternFill>
    </fill>
    <fill>
      <patternFill patternType="solid">
        <fgColor theme="6" tint="0.39997558519241921"/>
        <bgColor indexed="64"/>
      </patternFill>
    </fill>
    <fill>
      <patternFill patternType="solid">
        <fgColor theme="1"/>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theme="0" tint="-0.14996795556505021"/>
        <bgColor indexed="64"/>
      </patternFill>
    </fill>
    <fill>
      <patternFill patternType="solid">
        <fgColor rgb="FFFFDE75"/>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indexed="63"/>
        <bgColor indexed="64"/>
      </patternFill>
    </fill>
    <fill>
      <patternFill patternType="solid">
        <fgColor rgb="FFFBDF79"/>
        <bgColor indexed="64"/>
      </patternFill>
    </fill>
    <fill>
      <patternFill patternType="solid">
        <fgColor rgb="FF7030A0"/>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rgb="FFFFD961"/>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rgb="FFFFFFCC"/>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3" tint="-0.249977111117893"/>
        <bgColor indexed="64"/>
      </patternFill>
    </fill>
    <fill>
      <patternFill patternType="solid">
        <fgColor theme="7" tint="0.39997558519241921"/>
        <bgColor indexed="64"/>
      </patternFill>
    </fill>
  </fills>
  <borders count="101">
    <border>
      <left/>
      <right/>
      <top/>
      <bottom/>
      <diagonal/>
    </border>
    <border>
      <left/>
      <right/>
      <top/>
      <bottom style="hair">
        <color indexed="64"/>
      </bottom>
      <diagonal/>
    </border>
    <border>
      <left/>
      <right/>
      <top style="hair">
        <color indexed="64"/>
      </top>
      <bottom/>
      <diagonal/>
    </border>
    <border>
      <left/>
      <right/>
      <top/>
      <bottom style="thin">
        <color indexed="64"/>
      </bottom>
      <diagonal/>
    </border>
    <border>
      <left style="hair">
        <color indexed="64"/>
      </left>
      <right/>
      <top/>
      <bottom style="hair">
        <color indexed="64"/>
      </bottom>
      <diagonal/>
    </border>
    <border>
      <left style="thin">
        <color indexed="64"/>
      </left>
      <right/>
      <top/>
      <bottom/>
      <diagonal/>
    </border>
    <border>
      <left style="hair">
        <color indexed="64"/>
      </left>
      <right/>
      <top/>
      <bottom/>
      <diagonal/>
    </border>
    <border>
      <left/>
      <right style="hair">
        <color auto="1"/>
      </right>
      <top/>
      <bottom/>
      <diagonal/>
    </border>
    <border>
      <left/>
      <right/>
      <top style="thin">
        <color theme="0" tint="-0.14996795556505021"/>
      </top>
      <bottom style="thin">
        <color theme="0" tint="-0.14996795556505021"/>
      </bottom>
      <diagonal/>
    </border>
    <border>
      <left/>
      <right/>
      <top/>
      <bottom style="thin">
        <color theme="0" tint="-0.14996795556505021"/>
      </bottom>
      <diagonal/>
    </border>
    <border>
      <left/>
      <right/>
      <top style="thin">
        <color theme="0" tint="-0.14996795556505021"/>
      </top>
      <bottom style="thin">
        <color theme="0" tint="-0.14993743705557422"/>
      </bottom>
      <diagonal/>
    </border>
    <border>
      <left/>
      <right/>
      <top style="thin">
        <color theme="0" tint="-0.14993743705557422"/>
      </top>
      <bottom style="thin">
        <color theme="0" tint="-0.14993743705557422"/>
      </bottom>
      <diagonal/>
    </border>
    <border>
      <left/>
      <right/>
      <top/>
      <bottom style="hair">
        <color theme="0" tint="-0.14996795556505021"/>
      </bottom>
      <diagonal/>
    </border>
    <border>
      <left/>
      <right/>
      <top style="thin">
        <color theme="0" tint="-0.14996795556505021"/>
      </top>
      <bottom/>
      <diagonal/>
    </border>
    <border>
      <left/>
      <right/>
      <top/>
      <bottom style="thin">
        <color theme="0" tint="-0.34998626667073579"/>
      </bottom>
      <diagonal/>
    </border>
    <border>
      <left/>
      <right/>
      <top/>
      <bottom style="thin">
        <color theme="0" tint="-0.499984740745262"/>
      </bottom>
      <diagonal/>
    </border>
    <border>
      <left/>
      <right/>
      <top/>
      <bottom style="thin">
        <color theme="0" tint="-0.1499374370555742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bottom style="thin">
        <color theme="0" tint="-0.14993743705557422"/>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24994659260841701"/>
      </top>
      <bottom/>
      <diagonal/>
    </border>
    <border>
      <left/>
      <right/>
      <top/>
      <bottom style="thin">
        <color theme="0" tint="-0.24994659260841701"/>
      </bottom>
      <diagonal/>
    </border>
    <border>
      <left/>
      <right/>
      <top style="thin">
        <color theme="0" tint="-0.34998626667073579"/>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bottom style="thin">
        <color theme="0"/>
      </bottom>
      <diagonal/>
    </border>
    <border>
      <left style="thin">
        <color theme="0"/>
      </left>
      <right/>
      <top/>
      <bottom style="thin">
        <color theme="0"/>
      </bottom>
      <diagonal/>
    </border>
    <border>
      <left/>
      <right/>
      <top style="thin">
        <color theme="0"/>
      </top>
      <bottom style="thin">
        <color theme="0" tint="-0.1499679555650502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6795556505021"/>
      </left>
      <right style="thin">
        <color theme="0" tint="-0.14996795556505021"/>
      </right>
      <top style="thin">
        <color theme="0" tint="-0.14996795556505021"/>
      </top>
      <bottom style="thin">
        <color theme="0" tint="-0.14993743705557422"/>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rgb="FFC00000"/>
      </left>
      <right/>
      <top style="thin">
        <color rgb="FFC00000"/>
      </top>
      <bottom/>
      <diagonal/>
    </border>
    <border>
      <left/>
      <right/>
      <top style="thin">
        <color rgb="FFC00000"/>
      </top>
      <bottom/>
      <diagonal/>
    </border>
    <border>
      <left/>
      <right style="thin">
        <color rgb="FFC00000"/>
      </right>
      <top style="thin">
        <color rgb="FFC00000"/>
      </top>
      <bottom/>
      <diagonal/>
    </border>
    <border>
      <left style="thin">
        <color rgb="FFC00000"/>
      </left>
      <right/>
      <top/>
      <bottom/>
      <diagonal/>
    </border>
    <border>
      <left/>
      <right style="thin">
        <color rgb="FFC00000"/>
      </right>
      <top/>
      <bottom/>
      <diagonal/>
    </border>
    <border>
      <left style="thin">
        <color rgb="FFC00000"/>
      </left>
      <right/>
      <top/>
      <bottom style="thin">
        <color rgb="FFC00000"/>
      </bottom>
      <diagonal/>
    </border>
    <border>
      <left/>
      <right/>
      <top/>
      <bottom style="thin">
        <color rgb="FFC00000"/>
      </bottom>
      <diagonal/>
    </border>
    <border>
      <left/>
      <right style="thin">
        <color rgb="FFC00000"/>
      </right>
      <top/>
      <bottom style="thin">
        <color rgb="FFC00000"/>
      </bottom>
      <diagonal/>
    </border>
    <border>
      <left style="thin">
        <color theme="0" tint="-0.14993743705557422"/>
      </left>
      <right/>
      <top/>
      <bottom/>
      <diagonal/>
    </border>
    <border>
      <left/>
      <right style="thin">
        <color theme="0" tint="-0.14993743705557422"/>
      </right>
      <top/>
      <bottom/>
      <diagonal/>
    </border>
    <border>
      <left style="thin">
        <color theme="0" tint="-0.14993743705557422"/>
      </left>
      <right/>
      <top/>
      <bottom style="thin">
        <color theme="0" tint="-0.14993743705557422"/>
      </bottom>
      <diagonal/>
    </border>
    <border>
      <left/>
      <right style="thin">
        <color theme="0" tint="-0.14993743705557422"/>
      </right>
      <top/>
      <bottom style="thin">
        <color theme="0" tint="-0.14993743705557422"/>
      </bottom>
      <diagonal/>
    </border>
    <border>
      <left/>
      <right/>
      <top style="thin">
        <color theme="0" tint="-0.24994659260841701"/>
      </top>
      <bottom style="thin">
        <color theme="0" tint="-0.24994659260841701"/>
      </bottom>
      <diagonal/>
    </border>
    <border>
      <left/>
      <right/>
      <top style="thin">
        <color theme="0" tint="-0.24994659260841701"/>
      </top>
      <bottom style="thin">
        <color theme="0"/>
      </bottom>
      <diagonal/>
    </border>
    <border>
      <left/>
      <right style="thin">
        <color theme="0"/>
      </right>
      <top style="thin">
        <color theme="0" tint="-0.24994659260841701"/>
      </top>
      <bottom style="thin">
        <color theme="0"/>
      </bottom>
      <diagonal/>
    </border>
    <border>
      <left/>
      <right/>
      <top style="thin">
        <color theme="0" tint="-0.499984740745262"/>
      </top>
      <bottom style="thin">
        <color theme="0" tint="-0.24994659260841701"/>
      </bottom>
      <diagonal/>
    </border>
    <border>
      <left/>
      <right style="thin">
        <color theme="0"/>
      </right>
      <top/>
      <bottom style="thin">
        <color theme="0" tint="-0.24994659260841701"/>
      </bottom>
      <diagonal/>
    </border>
    <border>
      <left style="thin">
        <color theme="0"/>
      </left>
      <right/>
      <top/>
      <bottom style="thin">
        <color theme="0" tint="-0.24994659260841701"/>
      </bottom>
      <diagonal/>
    </border>
    <border>
      <left/>
      <right/>
      <top style="thin">
        <color theme="0"/>
      </top>
      <bottom style="thin">
        <color theme="0" tint="-0.24994659260841701"/>
      </bottom>
      <diagonal/>
    </border>
    <border>
      <left/>
      <right/>
      <top style="thin">
        <color theme="0" tint="-0.34998626667073579"/>
      </top>
      <bottom style="thin">
        <color theme="0" tint="-0.34998626667073579"/>
      </bottom>
      <diagonal/>
    </border>
    <border>
      <left style="thin">
        <color theme="0"/>
      </left>
      <right/>
      <top style="thin">
        <color theme="0" tint="-0.34998626667073579"/>
      </top>
      <bottom style="thin">
        <color theme="0" tint="-0.34998626667073579"/>
      </bottom>
      <diagonal/>
    </border>
    <border>
      <left style="thin">
        <color theme="0"/>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right>
      <top/>
      <bottom style="thin">
        <color theme="0" tint="-0.34998626667073579"/>
      </bottom>
      <diagonal/>
    </border>
    <border>
      <left style="thin">
        <color theme="0"/>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right>
      <top style="thin">
        <color theme="0" tint="-0.34998626667073579"/>
      </top>
      <bottom style="thin">
        <color theme="0" tint="-0.34998626667073579"/>
      </bottom>
      <diagonal/>
    </border>
    <border>
      <left/>
      <right/>
      <top style="thin">
        <color theme="0" tint="-0.24994659260841701"/>
      </top>
      <bottom style="thin">
        <color theme="0" tint="-0.34998626667073579"/>
      </bottom>
      <diagonal/>
    </border>
    <border>
      <left/>
      <right/>
      <top style="thin">
        <color theme="0" tint="-0.499984740745262"/>
      </top>
      <bottom style="thin">
        <color theme="0" tint="-0.34998626667073579"/>
      </bottom>
      <diagonal/>
    </border>
    <border>
      <left/>
      <right/>
      <top style="thin">
        <color indexed="64"/>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left>
      <right/>
      <top/>
      <bottom style="thin">
        <color theme="0" tint="-0.34998626667073579"/>
      </bottom>
      <diagonal/>
    </border>
    <border>
      <left style="thin">
        <color theme="0"/>
      </left>
      <right style="thin">
        <color theme="0"/>
      </right>
      <top style="thin">
        <color theme="0" tint="-0.34998626667073579"/>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style="thin">
        <color theme="0"/>
      </left>
      <right/>
      <top style="thin">
        <color theme="0" tint="-0.24994659260841701"/>
      </top>
      <bottom style="thin">
        <color theme="0" tint="-0.34998626667073579"/>
      </bottom>
      <diagonal/>
    </border>
    <border>
      <left/>
      <right style="thin">
        <color theme="0"/>
      </right>
      <top style="thin">
        <color theme="0" tint="-0.34998626667073579"/>
      </top>
      <bottom style="thin">
        <color theme="0" tint="-0.34998626667073579"/>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style="thin">
        <color theme="0" tint="-0.34998626667073579"/>
      </top>
      <bottom/>
      <diagonal/>
    </border>
    <border>
      <left/>
      <right style="thin">
        <color theme="0" tint="-0.14996795556505021"/>
      </right>
      <top style="thin">
        <color theme="0" tint="-0.34998626667073579"/>
      </top>
      <bottom/>
      <diagonal/>
    </border>
    <border>
      <left/>
      <right/>
      <top style="thin">
        <color theme="0" tint="-0.24994659260841701"/>
      </top>
      <bottom style="thin">
        <color theme="0" tint="-0.499984740745262"/>
      </bottom>
      <diagonal/>
    </border>
    <border>
      <left/>
      <right/>
      <top style="thin">
        <color theme="0" tint="-0.34998626667073579"/>
      </top>
      <bottom style="thin">
        <color theme="0" tint="-0.499984740745262"/>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theme="0" tint="-0.24994659260841701"/>
      </left>
      <right/>
      <top style="thin">
        <color theme="0" tint="-0.34998626667073579"/>
      </top>
      <bottom style="thin">
        <color theme="0" tint="-0.34998626667073579"/>
      </bottom>
      <diagonal/>
    </border>
    <border>
      <left style="thin">
        <color theme="0" tint="-0.24994659260841701"/>
      </left>
      <right/>
      <top/>
      <bottom style="thin">
        <color theme="0" tint="-0.24994659260841701"/>
      </bottom>
      <diagonal/>
    </border>
    <border>
      <left style="thin">
        <color theme="0" tint="-0.24994659260841701"/>
      </left>
      <right/>
      <top/>
      <bottom/>
      <diagonal/>
    </border>
    <border>
      <left/>
      <right style="thin">
        <color theme="0" tint="-0.24994659260841701"/>
      </right>
      <top style="thin">
        <color theme="0" tint="-0.24994659260841701"/>
      </top>
      <bottom/>
      <diagonal/>
    </border>
    <border>
      <left/>
      <right style="thin">
        <color theme="0" tint="-0.24994659260841701"/>
      </right>
      <top/>
      <bottom/>
      <diagonal/>
    </border>
    <border>
      <left style="thin">
        <color theme="0" tint="-0.24994659260841701"/>
      </left>
      <right/>
      <top style="thin">
        <color theme="0" tint="-0.24994659260841701"/>
      </top>
      <bottom/>
      <diagonal/>
    </border>
    <border>
      <left style="thin">
        <color theme="0" tint="-0.24994659260841701"/>
      </left>
      <right style="thin">
        <color theme="0"/>
      </right>
      <top/>
      <bottom style="thin">
        <color indexed="64"/>
      </bottom>
      <diagonal/>
    </border>
    <border>
      <left style="thin">
        <color theme="0"/>
      </left>
      <right style="thin">
        <color theme="0"/>
      </right>
      <top/>
      <bottom style="thin">
        <color indexed="64"/>
      </bottom>
      <diagonal/>
    </border>
    <border>
      <left style="thin">
        <color theme="0"/>
      </left>
      <right style="thin">
        <color theme="0" tint="-0.24994659260841701"/>
      </right>
      <top/>
      <bottom style="thin">
        <color indexed="64"/>
      </bottom>
      <diagonal/>
    </border>
    <border>
      <left/>
      <right style="thin">
        <color theme="0"/>
      </right>
      <top/>
      <bottom style="thin">
        <color indexed="64"/>
      </bottom>
      <diagonal/>
    </border>
    <border>
      <left style="thin">
        <color theme="0" tint="-0.14993743705557422"/>
      </left>
      <right/>
      <top style="thin">
        <color theme="0" tint="-0.14990691854609822"/>
      </top>
      <bottom/>
      <diagonal/>
    </border>
    <border>
      <left/>
      <right/>
      <top style="thin">
        <color theme="0" tint="-0.14990691854609822"/>
      </top>
      <bottom/>
      <diagonal/>
    </border>
    <border>
      <left/>
      <right style="thin">
        <color theme="0" tint="-0.14993743705557422"/>
      </right>
      <top style="thin">
        <color theme="0" tint="-0.14990691854609822"/>
      </top>
      <bottom/>
      <diagonal/>
    </border>
    <border>
      <left style="thin">
        <color theme="0" tint="-0.14996795556505021"/>
      </left>
      <right/>
      <top/>
      <bottom style="thin">
        <color theme="0" tint="-0.14996795556505021"/>
      </bottom>
      <diagonal/>
    </border>
    <border>
      <left/>
      <right style="thin">
        <color theme="0" tint="-0.14996795556505021"/>
      </right>
      <top style="thin">
        <color theme="0" tint="-0.14996795556505021"/>
      </top>
      <bottom/>
      <diagonal/>
    </border>
    <border>
      <left style="thin">
        <color theme="0" tint="-0.34998626667073579"/>
      </left>
      <right/>
      <top/>
      <bottom/>
      <diagonal/>
    </border>
  </borders>
  <cellStyleXfs count="10">
    <xf numFmtId="0" fontId="0" fillId="0" borderId="0"/>
    <xf numFmtId="164" fontId="5" fillId="0" borderId="0" applyFont="0" applyFill="0" applyBorder="0" applyAlignment="0" applyProtection="0"/>
    <xf numFmtId="0" fontId="6" fillId="0" borderId="0"/>
    <xf numFmtId="0" fontId="6" fillId="0" borderId="0"/>
    <xf numFmtId="0" fontId="5" fillId="0" borderId="0"/>
    <xf numFmtId="0" fontId="9" fillId="0" borderId="0"/>
    <xf numFmtId="0" fontId="6" fillId="0" borderId="0"/>
    <xf numFmtId="0" fontId="5" fillId="0" borderId="0"/>
    <xf numFmtId="0" fontId="2" fillId="0" borderId="0"/>
    <xf numFmtId="0" fontId="1" fillId="0" borderId="0"/>
  </cellStyleXfs>
  <cellXfs count="942">
    <xf numFmtId="0" fontId="0" fillId="0" borderId="0" xfId="0"/>
    <xf numFmtId="49" fontId="17" fillId="0" borderId="0" xfId="2" applyNumberFormat="1" applyFont="1" applyAlignment="1">
      <alignment horizontal="right" vertical="center"/>
    </xf>
    <xf numFmtId="0" fontId="16" fillId="0" borderId="0" xfId="2" applyFont="1" applyAlignment="1">
      <alignment vertical="center"/>
    </xf>
    <xf numFmtId="0" fontId="16" fillId="0" borderId="0" xfId="2" quotePrefix="1" applyFont="1" applyAlignment="1">
      <alignment vertical="center"/>
    </xf>
    <xf numFmtId="0" fontId="12" fillId="0" borderId="0" xfId="2" applyFont="1" applyAlignment="1">
      <alignment horizontal="center" vertical="center"/>
    </xf>
    <xf numFmtId="0" fontId="12" fillId="0" borderId="0" xfId="2" applyFont="1" applyAlignment="1">
      <alignment horizontal="left" vertical="center"/>
    </xf>
    <xf numFmtId="0" fontId="12" fillId="0" borderId="0" xfId="2" applyFont="1" applyAlignment="1">
      <alignment vertical="center"/>
    </xf>
    <xf numFmtId="0" fontId="18" fillId="0" borderId="0" xfId="2" applyFont="1" applyAlignment="1">
      <alignment vertical="center"/>
    </xf>
    <xf numFmtId="0" fontId="12" fillId="0" borderId="0" xfId="0" applyFont="1" applyAlignment="1" applyProtection="1">
      <alignment vertical="center"/>
      <protection hidden="1"/>
    </xf>
    <xf numFmtId="0" fontId="19" fillId="0" borderId="0" xfId="0" applyFont="1" applyAlignment="1" applyProtection="1">
      <alignment vertical="center"/>
      <protection hidden="1"/>
    </xf>
    <xf numFmtId="0" fontId="14" fillId="0" borderId="0" xfId="2" applyFont="1" applyAlignment="1">
      <alignment horizontal="center" vertical="center"/>
    </xf>
    <xf numFmtId="0" fontId="22" fillId="0" borderId="0" xfId="2" applyFont="1"/>
    <xf numFmtId="0" fontId="26" fillId="0" borderId="0" xfId="2" applyFont="1" applyAlignment="1">
      <alignment vertical="center"/>
    </xf>
    <xf numFmtId="0" fontId="12" fillId="0" borderId="0" xfId="2" applyFont="1"/>
    <xf numFmtId="0" fontId="27" fillId="0" borderId="0" xfId="2" applyFont="1" applyAlignment="1">
      <alignment vertical="center"/>
    </xf>
    <xf numFmtId="0" fontId="12" fillId="0" borderId="0" xfId="2" applyFont="1" applyAlignment="1">
      <alignment horizontal="center"/>
    </xf>
    <xf numFmtId="0" fontId="25" fillId="0" borderId="0" xfId="2" applyFont="1" applyAlignment="1">
      <alignment vertical="center"/>
    </xf>
    <xf numFmtId="0" fontId="12" fillId="0" borderId="0" xfId="2" applyFont="1" applyAlignment="1">
      <alignment horizontal="left"/>
    </xf>
    <xf numFmtId="0" fontId="18" fillId="0" borderId="0" xfId="2" applyFont="1"/>
    <xf numFmtId="0" fontId="18" fillId="6" borderId="0" xfId="2" applyFont="1" applyFill="1"/>
    <xf numFmtId="0" fontId="25" fillId="0" borderId="19" xfId="3" applyFont="1" applyBorder="1" applyAlignment="1">
      <alignment horizontal="left" vertical="center" wrapText="1"/>
    </xf>
    <xf numFmtId="0" fontId="18" fillId="8" borderId="19" xfId="2" applyFont="1" applyFill="1" applyBorder="1" applyAlignment="1">
      <alignment horizontal="left" vertical="center" wrapText="1"/>
    </xf>
    <xf numFmtId="0" fontId="24" fillId="0" borderId="20" xfId="2" applyFont="1" applyBorder="1" applyAlignment="1">
      <alignment horizontal="center" vertical="center"/>
    </xf>
    <xf numFmtId="0" fontId="12" fillId="0" borderId="20" xfId="3" applyFont="1" applyBorder="1" applyAlignment="1">
      <alignment vertical="center" wrapText="1"/>
    </xf>
    <xf numFmtId="0" fontId="12" fillId="0" borderId="20" xfId="3" applyFont="1" applyBorder="1" applyAlignment="1">
      <alignment horizontal="left" vertical="center" wrapText="1"/>
    </xf>
    <xf numFmtId="0" fontId="18" fillId="0" borderId="20" xfId="2" applyFont="1" applyBorder="1" applyAlignment="1">
      <alignment vertical="center"/>
    </xf>
    <xf numFmtId="0" fontId="12" fillId="0" borderId="20" xfId="2" applyFont="1" applyBorder="1" applyAlignment="1">
      <alignment horizontal="center" vertical="center"/>
    </xf>
    <xf numFmtId="0" fontId="12" fillId="0" borderId="20" xfId="0" applyFont="1" applyBorder="1" applyAlignment="1" applyProtection="1">
      <alignment vertical="center" wrapText="1"/>
      <protection hidden="1"/>
    </xf>
    <xf numFmtId="0" fontId="12" fillId="0" borderId="20" xfId="2" applyFont="1" applyBorder="1" applyAlignment="1">
      <alignment vertical="center" wrapText="1"/>
    </xf>
    <xf numFmtId="0" fontId="12" fillId="0" borderId="20" xfId="2" applyFont="1" applyBorder="1" applyAlignment="1">
      <alignment horizontal="left" vertical="center" wrapText="1"/>
    </xf>
    <xf numFmtId="0" fontId="12" fillId="10" borderId="20" xfId="2" applyFont="1" applyFill="1" applyBorder="1" applyAlignment="1">
      <alignment vertical="center" wrapText="1"/>
    </xf>
    <xf numFmtId="0" fontId="12" fillId="0" borderId="20" xfId="2" applyFont="1" applyBorder="1" applyAlignment="1">
      <alignment vertical="center"/>
    </xf>
    <xf numFmtId="0" fontId="12" fillId="10" borderId="20" xfId="2" applyFont="1" applyFill="1" applyBorder="1" applyAlignment="1">
      <alignment vertical="center"/>
    </xf>
    <xf numFmtId="0" fontId="12" fillId="0" borderId="20" xfId="2" quotePrefix="1" applyFont="1" applyBorder="1" applyAlignment="1">
      <alignment horizontal="left" vertical="center" wrapText="1"/>
    </xf>
    <xf numFmtId="0" fontId="12" fillId="0" borderId="20" xfId="0" applyFont="1" applyBorder="1" applyAlignment="1">
      <alignment vertical="center"/>
    </xf>
    <xf numFmtId="0" fontId="12" fillId="0" borderId="20" xfId="0" applyFont="1" applyBorder="1" applyAlignment="1">
      <alignment horizontal="left" vertical="center" wrapText="1"/>
    </xf>
    <xf numFmtId="0" fontId="12" fillId="0" borderId="20" xfId="5" applyFont="1" applyBorder="1" applyAlignment="1" applyProtection="1">
      <alignment vertical="center" wrapText="1"/>
      <protection hidden="1"/>
    </xf>
    <xf numFmtId="0" fontId="12" fillId="0" borderId="20" xfId="5" applyFont="1" applyBorder="1" applyAlignment="1" applyProtection="1">
      <alignment horizontal="left" vertical="center" wrapText="1"/>
      <protection hidden="1"/>
    </xf>
    <xf numFmtId="0" fontId="12" fillId="0" borderId="20" xfId="4" applyFont="1" applyBorder="1" applyAlignment="1">
      <alignment vertical="center"/>
    </xf>
    <xf numFmtId="0" fontId="12" fillId="0" borderId="20" xfId="4" applyFont="1" applyBorder="1" applyAlignment="1">
      <alignment vertical="center" wrapText="1"/>
    </xf>
    <xf numFmtId="0" fontId="12" fillId="0" borderId="20" xfId="0" applyFont="1" applyBorder="1" applyAlignment="1" applyProtection="1">
      <alignment vertical="center"/>
      <protection hidden="1"/>
    </xf>
    <xf numFmtId="0" fontId="12" fillId="0" borderId="20" xfId="2" quotePrefix="1" applyFont="1" applyBorder="1" applyAlignment="1">
      <alignment vertical="center"/>
    </xf>
    <xf numFmtId="0" fontId="12" fillId="0" borderId="20" xfId="0" applyFont="1" applyBorder="1" applyAlignment="1" applyProtection="1">
      <alignment horizontal="left" vertical="center" wrapText="1"/>
      <protection hidden="1"/>
    </xf>
    <xf numFmtId="0" fontId="28" fillId="0" borderId="20" xfId="2" applyFont="1" applyBorder="1" applyAlignment="1">
      <alignment vertical="center" wrapText="1"/>
    </xf>
    <xf numFmtId="0" fontId="28" fillId="0" borderId="20" xfId="2" applyFont="1" applyBorder="1" applyAlignment="1">
      <alignment horizontal="left" vertical="center" wrapText="1"/>
    </xf>
    <xf numFmtId="0" fontId="28" fillId="0" borderId="20" xfId="0" applyFont="1" applyBorder="1" applyAlignment="1" applyProtection="1">
      <alignment horizontal="left" vertical="center" wrapText="1"/>
      <protection hidden="1"/>
    </xf>
    <xf numFmtId="0" fontId="12" fillId="0" borderId="20" xfId="2" applyFont="1" applyBorder="1" applyAlignment="1">
      <alignment horizontal="left" vertical="center"/>
    </xf>
    <xf numFmtId="0" fontId="12" fillId="0" borderId="20" xfId="7" applyFont="1" applyBorder="1" applyAlignment="1">
      <alignment vertical="center"/>
    </xf>
    <xf numFmtId="0" fontId="12" fillId="0" borderId="20" xfId="7" applyFont="1" applyBorder="1" applyAlignment="1">
      <alignment vertical="center" wrapText="1"/>
    </xf>
    <xf numFmtId="0" fontId="12" fillId="0" borderId="20" xfId="4" applyFont="1" applyBorder="1" applyAlignment="1">
      <alignment horizontal="left" vertical="center"/>
    </xf>
    <xf numFmtId="0" fontId="12" fillId="0" borderId="20" xfId="4" quotePrefix="1" applyFont="1" applyBorder="1" applyAlignment="1">
      <alignment vertical="center"/>
    </xf>
    <xf numFmtId="0" fontId="12" fillId="0" borderId="20" xfId="4" applyFont="1" applyBorder="1" applyAlignment="1">
      <alignment horizontal="left" vertical="center" wrapText="1"/>
    </xf>
    <xf numFmtId="14" fontId="12" fillId="0" borderId="20" xfId="2" applyNumberFormat="1" applyFont="1" applyBorder="1" applyAlignment="1">
      <alignment horizontal="center" vertical="center"/>
    </xf>
    <xf numFmtId="14" fontId="29" fillId="0" borderId="20" xfId="2" applyNumberFormat="1" applyFont="1" applyBorder="1" applyAlignment="1">
      <alignment horizontal="center" vertical="center"/>
    </xf>
    <xf numFmtId="0" fontId="12" fillId="0" borderId="20" xfId="0" quotePrefix="1" applyFont="1" applyBorder="1" applyAlignment="1" applyProtection="1">
      <alignment vertical="center" wrapText="1"/>
      <protection hidden="1"/>
    </xf>
    <xf numFmtId="0" fontId="30" fillId="0" borderId="20" xfId="2" applyFont="1" applyBorder="1" applyAlignment="1">
      <alignment vertical="center" wrapText="1"/>
    </xf>
    <xf numFmtId="0" fontId="28" fillId="0" borderId="20" xfId="2" applyFont="1" applyBorder="1" applyAlignment="1">
      <alignment vertical="center"/>
    </xf>
    <xf numFmtId="0" fontId="31" fillId="0" borderId="20" xfId="2" applyFont="1" applyBorder="1" applyAlignment="1">
      <alignment vertical="center"/>
    </xf>
    <xf numFmtId="0" fontId="18" fillId="0" borderId="20" xfId="2" applyFont="1" applyBorder="1" applyAlignment="1">
      <alignment vertical="center" wrapText="1"/>
    </xf>
    <xf numFmtId="0" fontId="31" fillId="0" borderId="20" xfId="2" applyFont="1" applyBorder="1" applyAlignment="1">
      <alignment vertical="center" wrapText="1"/>
    </xf>
    <xf numFmtId="14" fontId="12" fillId="20" borderId="20" xfId="2" applyNumberFormat="1" applyFont="1" applyFill="1" applyBorder="1" applyAlignment="1">
      <alignment horizontal="center" vertical="center"/>
    </xf>
    <xf numFmtId="0" fontId="27" fillId="0" borderId="20" xfId="0" applyFont="1" applyBorder="1" applyAlignment="1">
      <alignment vertical="center"/>
    </xf>
    <xf numFmtId="0" fontId="12" fillId="0" borderId="20" xfId="2" quotePrefix="1" applyFont="1" applyBorder="1" applyAlignment="1">
      <alignment vertical="center" wrapText="1"/>
    </xf>
    <xf numFmtId="0" fontId="12" fillId="0" borderId="20" xfId="2" applyFont="1" applyBorder="1" applyAlignment="1">
      <alignment wrapText="1"/>
    </xf>
    <xf numFmtId="0" fontId="15" fillId="9" borderId="0" xfId="4" applyFont="1" applyFill="1" applyAlignment="1">
      <alignment vertical="center"/>
    </xf>
    <xf numFmtId="0" fontId="14" fillId="0" borderId="0" xfId="2" applyFont="1" applyAlignment="1">
      <alignment vertical="center"/>
    </xf>
    <xf numFmtId="0" fontId="17" fillId="0" borderId="0" xfId="4" applyFont="1" applyAlignment="1">
      <alignment vertical="center"/>
    </xf>
    <xf numFmtId="0" fontId="17" fillId="0" borderId="0" xfId="4" applyFont="1" applyAlignment="1">
      <alignment horizontal="left" vertical="center"/>
    </xf>
    <xf numFmtId="0" fontId="14" fillId="0" borderId="0" xfId="2" applyFont="1"/>
    <xf numFmtId="0" fontId="34" fillId="0" borderId="0" xfId="2" applyFont="1"/>
    <xf numFmtId="0" fontId="17" fillId="0" borderId="0" xfId="4" applyFont="1" applyAlignment="1">
      <alignment horizontal="center" vertical="center"/>
    </xf>
    <xf numFmtId="0" fontId="14" fillId="0" borderId="1" xfId="2" applyFont="1" applyBorder="1" applyAlignment="1">
      <alignment vertical="center"/>
    </xf>
    <xf numFmtId="0" fontId="16" fillId="0" borderId="0" xfId="4" applyFont="1" applyAlignment="1">
      <alignment vertical="center"/>
    </xf>
    <xf numFmtId="49" fontId="16" fillId="0" borderId="0" xfId="2" applyNumberFormat="1" applyFont="1" applyAlignment="1">
      <alignment horizontal="right" vertical="center"/>
    </xf>
    <xf numFmtId="49" fontId="16" fillId="0" borderId="0" xfId="2" applyNumberFormat="1" applyFont="1" applyAlignment="1">
      <alignment vertical="center"/>
    </xf>
    <xf numFmtId="0" fontId="39" fillId="9" borderId="0" xfId="4" applyFont="1" applyFill="1" applyAlignment="1">
      <alignment vertical="center"/>
    </xf>
    <xf numFmtId="0" fontId="17" fillId="9" borderId="0" xfId="4" applyFont="1" applyFill="1" applyAlignment="1">
      <alignment vertical="center"/>
    </xf>
    <xf numFmtId="0" fontId="17" fillId="9" borderId="0" xfId="4" applyFont="1" applyFill="1" applyAlignment="1">
      <alignment horizontal="right" vertical="center"/>
    </xf>
    <xf numFmtId="49" fontId="17" fillId="9" borderId="0" xfId="4" applyNumberFormat="1" applyFont="1" applyFill="1" applyAlignment="1">
      <alignment horizontal="right" vertical="center"/>
    </xf>
    <xf numFmtId="0" fontId="40" fillId="9" borderId="0" xfId="4" applyFont="1" applyFill="1" applyAlignment="1">
      <alignment vertical="center"/>
    </xf>
    <xf numFmtId="0" fontId="39" fillId="0" borderId="0" xfId="4" applyFont="1" applyAlignment="1">
      <alignment vertical="center"/>
    </xf>
    <xf numFmtId="14" fontId="17" fillId="0" borderId="0" xfId="2" applyNumberFormat="1" applyFont="1" applyAlignment="1">
      <alignment horizontal="left" vertical="center"/>
    </xf>
    <xf numFmtId="14" fontId="17" fillId="0" borderId="0" xfId="2" applyNumberFormat="1" applyFont="1" applyAlignment="1">
      <alignment horizontal="center" vertical="center"/>
    </xf>
    <xf numFmtId="0" fontId="17" fillId="0" borderId="0" xfId="2" applyFont="1" applyAlignment="1">
      <alignment vertical="center"/>
    </xf>
    <xf numFmtId="0" fontId="17" fillId="0" borderId="0" xfId="4" applyFont="1" applyAlignment="1">
      <alignment vertical="top"/>
    </xf>
    <xf numFmtId="0" fontId="41" fillId="0" borderId="0" xfId="4" applyFont="1" applyAlignment="1">
      <alignment vertical="center"/>
    </xf>
    <xf numFmtId="49" fontId="17" fillId="0" borderId="0" xfId="2" applyNumberFormat="1" applyFont="1" applyAlignment="1">
      <alignment vertical="center"/>
    </xf>
    <xf numFmtId="0" fontId="42" fillId="0" borderId="0" xfId="4" applyFont="1" applyAlignment="1">
      <alignment horizontal="left" vertical="center"/>
    </xf>
    <xf numFmtId="0" fontId="43" fillId="0" borderId="0" xfId="4" applyFont="1" applyAlignment="1">
      <alignment horizontal="left" vertical="center"/>
    </xf>
    <xf numFmtId="4" fontId="17" fillId="0" borderId="0" xfId="4" applyNumberFormat="1" applyFont="1" applyAlignment="1">
      <alignment vertical="center"/>
    </xf>
    <xf numFmtId="0" fontId="17" fillId="3" borderId="0" xfId="4" applyFont="1" applyFill="1" applyAlignment="1">
      <alignment horizontal="left" vertical="center"/>
    </xf>
    <xf numFmtId="0" fontId="17" fillId="0" borderId="0" xfId="6" applyFont="1" applyAlignment="1">
      <alignment horizontal="center" vertical="top"/>
    </xf>
    <xf numFmtId="0" fontId="17" fillId="0" borderId="0" xfId="6" applyFont="1" applyAlignment="1">
      <alignment vertical="center"/>
    </xf>
    <xf numFmtId="0" fontId="44" fillId="0" borderId="0" xfId="4" applyFont="1" applyAlignment="1">
      <alignment horizontal="left" vertical="center"/>
    </xf>
    <xf numFmtId="0" fontId="23" fillId="0" borderId="0" xfId="4" applyFont="1" applyAlignment="1">
      <alignment horizontal="left" vertical="center"/>
    </xf>
    <xf numFmtId="0" fontId="17" fillId="0" borderId="0" xfId="4" quotePrefix="1" applyFont="1" applyAlignment="1">
      <alignment vertical="center"/>
    </xf>
    <xf numFmtId="0" fontId="44" fillId="0" borderId="0" xfId="4" applyFont="1" applyAlignment="1">
      <alignment vertical="center"/>
    </xf>
    <xf numFmtId="0" fontId="44" fillId="0" borderId="0" xfId="4" applyFont="1" applyAlignment="1">
      <alignment horizontal="center" vertical="center"/>
    </xf>
    <xf numFmtId="2" fontId="17" fillId="0" borderId="0" xfId="6" applyNumberFormat="1" applyFont="1" applyAlignment="1">
      <alignment horizontal="right" vertical="center"/>
    </xf>
    <xf numFmtId="0" fontId="17" fillId="0" borderId="0" xfId="6" applyFont="1" applyAlignment="1">
      <alignment horizontal="right" vertical="center"/>
    </xf>
    <xf numFmtId="0" fontId="17" fillId="2" borderId="0" xfId="4" applyFont="1" applyFill="1" applyAlignment="1">
      <alignment horizontal="left" vertical="center"/>
    </xf>
    <xf numFmtId="0" fontId="44" fillId="2" borderId="0" xfId="4" applyFont="1" applyFill="1" applyAlignment="1">
      <alignment horizontal="left" vertical="center"/>
    </xf>
    <xf numFmtId="16" fontId="17" fillId="0" borderId="0" xfId="4" quotePrefix="1" applyNumberFormat="1" applyFont="1" applyAlignment="1">
      <alignment vertical="center"/>
    </xf>
    <xf numFmtId="0" fontId="17" fillId="0" borderId="0" xfId="4" applyFont="1" applyAlignment="1">
      <alignment horizontal="center" vertical="center" wrapText="1"/>
    </xf>
    <xf numFmtId="2" fontId="45" fillId="0" borderId="0" xfId="4" applyNumberFormat="1" applyFont="1" applyAlignment="1">
      <alignment vertical="center"/>
    </xf>
    <xf numFmtId="0" fontId="17" fillId="0" borderId="0" xfId="4" applyFont="1" applyAlignment="1">
      <alignment horizontal="right" vertical="center"/>
    </xf>
    <xf numFmtId="20" fontId="17" fillId="0" borderId="0" xfId="4" applyNumberFormat="1" applyFont="1" applyAlignment="1">
      <alignment vertical="center"/>
    </xf>
    <xf numFmtId="14" fontId="17" fillId="0" borderId="0" xfId="4" applyNumberFormat="1" applyFont="1" applyAlignment="1">
      <alignment vertical="center"/>
    </xf>
    <xf numFmtId="0" fontId="17" fillId="0" borderId="0" xfId="0" applyFont="1" applyAlignment="1">
      <alignment horizontal="left" vertical="center" indent="4"/>
    </xf>
    <xf numFmtId="0" fontId="23" fillId="0" borderId="0" xfId="4" applyFont="1" applyAlignment="1">
      <alignment vertical="center"/>
    </xf>
    <xf numFmtId="0" fontId="45" fillId="0" borderId="0" xfId="4" applyFont="1" applyAlignment="1">
      <alignment vertical="center"/>
    </xf>
    <xf numFmtId="2" fontId="47" fillId="0" borderId="0" xfId="4" applyNumberFormat="1" applyFont="1" applyAlignment="1">
      <alignment vertical="center"/>
    </xf>
    <xf numFmtId="0" fontId="48" fillId="0" borderId="0" xfId="4" applyFont="1" applyAlignment="1">
      <alignment horizontal="left" vertical="center"/>
    </xf>
    <xf numFmtId="0" fontId="37" fillId="12" borderId="0" xfId="2" applyFont="1" applyFill="1" applyAlignment="1">
      <alignment horizontal="center" vertical="center"/>
    </xf>
    <xf numFmtId="0" fontId="37" fillId="12" borderId="6" xfId="2" applyFont="1" applyFill="1" applyBorder="1" applyAlignment="1">
      <alignment horizontal="center" vertical="center"/>
    </xf>
    <xf numFmtId="0" fontId="49" fillId="11" borderId="6" xfId="2" applyFont="1" applyFill="1" applyBorder="1" applyAlignment="1">
      <alignment horizontal="center" vertical="center"/>
    </xf>
    <xf numFmtId="0" fontId="13" fillId="11" borderId="0" xfId="2" applyFont="1" applyFill="1" applyAlignment="1">
      <alignment horizontal="left" vertical="center"/>
    </xf>
    <xf numFmtId="0" fontId="14" fillId="0" borderId="6" xfId="2" applyFont="1" applyBorder="1" applyAlignment="1">
      <alignment vertical="center"/>
    </xf>
    <xf numFmtId="0" fontId="50" fillId="0" borderId="4" xfId="2" applyFont="1" applyBorder="1" applyAlignment="1">
      <alignment vertical="center"/>
    </xf>
    <xf numFmtId="0" fontId="14" fillId="0" borderId="5" xfId="2" applyFont="1" applyBorder="1" applyAlignment="1">
      <alignment vertical="center"/>
    </xf>
    <xf numFmtId="0" fontId="14" fillId="0" borderId="7" xfId="2" applyFont="1" applyBorder="1" applyAlignment="1">
      <alignment vertical="center"/>
    </xf>
    <xf numFmtId="0" fontId="35" fillId="0" borderId="0" xfId="2" applyFont="1" applyAlignment="1">
      <alignment vertical="center"/>
    </xf>
    <xf numFmtId="0" fontId="51" fillId="0" borderId="0" xfId="2" applyFont="1" applyAlignment="1">
      <alignment vertical="center"/>
    </xf>
    <xf numFmtId="0" fontId="52" fillId="11" borderId="0" xfId="2" applyFont="1" applyFill="1" applyAlignment="1">
      <alignment horizontal="center" vertical="center"/>
    </xf>
    <xf numFmtId="0" fontId="53" fillId="11" borderId="0" xfId="2" applyFont="1" applyFill="1" applyAlignment="1">
      <alignment horizontal="center" vertical="center"/>
    </xf>
    <xf numFmtId="0" fontId="54" fillId="11" borderId="0" xfId="2" applyFont="1" applyFill="1" applyAlignment="1">
      <alignment horizontal="center" vertical="center"/>
    </xf>
    <xf numFmtId="0" fontId="38" fillId="0" borderId="0" xfId="2" applyFont="1" applyAlignment="1">
      <alignment vertical="center"/>
    </xf>
    <xf numFmtId="0" fontId="55" fillId="11" borderId="0" xfId="2" applyFont="1" applyFill="1" applyAlignment="1">
      <alignment horizontal="center" vertical="center"/>
    </xf>
    <xf numFmtId="0" fontId="56" fillId="11" borderId="0" xfId="2" applyFont="1" applyFill="1" applyAlignment="1">
      <alignment horizontal="center" vertical="center"/>
    </xf>
    <xf numFmtId="0" fontId="57" fillId="11" borderId="0" xfId="2" applyFont="1" applyFill="1" applyAlignment="1">
      <alignment horizontal="center" vertical="center"/>
    </xf>
    <xf numFmtId="0" fontId="58" fillId="11" borderId="0" xfId="2" applyFont="1" applyFill="1" applyAlignment="1">
      <alignment horizontal="center" vertical="center"/>
    </xf>
    <xf numFmtId="0" fontId="32" fillId="15" borderId="0" xfId="2" applyFont="1" applyFill="1" applyAlignment="1">
      <alignment horizontal="center" vertical="center"/>
    </xf>
    <xf numFmtId="0" fontId="59" fillId="12" borderId="0" xfId="2" applyFont="1" applyFill="1" applyAlignment="1">
      <alignment horizontal="center" vertical="center"/>
    </xf>
    <xf numFmtId="0" fontId="32" fillId="12" borderId="0" xfId="2" applyFont="1" applyFill="1" applyAlignment="1">
      <alignment horizontal="center" vertical="center"/>
    </xf>
    <xf numFmtId="0" fontId="37" fillId="11" borderId="0" xfId="2" applyFont="1" applyFill="1" applyAlignment="1">
      <alignment vertical="center"/>
    </xf>
    <xf numFmtId="0" fontId="51" fillId="17" borderId="0" xfId="2" applyFont="1" applyFill="1" applyAlignment="1">
      <alignment horizontal="center" vertical="center"/>
    </xf>
    <xf numFmtId="0" fontId="51" fillId="12" borderId="0" xfId="2" applyFont="1" applyFill="1" applyAlignment="1">
      <alignment vertical="center"/>
    </xf>
    <xf numFmtId="0" fontId="37" fillId="11" borderId="0" xfId="2" applyFont="1" applyFill="1" applyAlignment="1">
      <alignment horizontal="center" vertical="center"/>
    </xf>
    <xf numFmtId="0" fontId="14" fillId="4" borderId="0" xfId="2" applyFont="1" applyFill="1" applyAlignment="1">
      <alignment horizontal="right" vertical="center"/>
    </xf>
    <xf numFmtId="0" fontId="37" fillId="12" borderId="0" xfId="2" applyFont="1" applyFill="1" applyAlignment="1">
      <alignment vertical="center"/>
    </xf>
    <xf numFmtId="0" fontId="37" fillId="13" borderId="0" xfId="2" applyFont="1" applyFill="1" applyAlignment="1">
      <alignment horizontal="right" vertical="center"/>
    </xf>
    <xf numFmtId="0" fontId="37" fillId="14" borderId="0" xfId="2" applyFont="1" applyFill="1" applyAlignment="1">
      <alignment horizontal="right" vertical="center"/>
    </xf>
    <xf numFmtId="49" fontId="12" fillId="4" borderId="0" xfId="0" applyNumberFormat="1" applyFont="1" applyFill="1" applyAlignment="1">
      <alignment horizontal="right"/>
    </xf>
    <xf numFmtId="0" fontId="14" fillId="0" borderId="0" xfId="0" applyFont="1"/>
    <xf numFmtId="2" fontId="37" fillId="14" borderId="0" xfId="2" applyNumberFormat="1" applyFont="1" applyFill="1" applyAlignment="1">
      <alignment horizontal="right" vertical="center"/>
    </xf>
    <xf numFmtId="0" fontId="37" fillId="13" borderId="0" xfId="2" applyFont="1" applyFill="1" applyAlignment="1">
      <alignment vertical="center"/>
    </xf>
    <xf numFmtId="0" fontId="37" fillId="14" borderId="0" xfId="2" applyFont="1" applyFill="1" applyAlignment="1">
      <alignment vertical="center"/>
    </xf>
    <xf numFmtId="0" fontId="37" fillId="13" borderId="0" xfId="2" quotePrefix="1" applyFont="1" applyFill="1" applyAlignment="1">
      <alignment horizontal="right" vertical="center"/>
    </xf>
    <xf numFmtId="0" fontId="37" fillId="14" borderId="0" xfId="2" quotePrefix="1" applyFont="1" applyFill="1" applyAlignment="1">
      <alignment horizontal="right" vertical="center"/>
    </xf>
    <xf numFmtId="2" fontId="37" fillId="13" borderId="0" xfId="2" applyNumberFormat="1" applyFont="1" applyFill="1" applyAlignment="1">
      <alignment vertical="center"/>
    </xf>
    <xf numFmtId="0" fontId="14" fillId="0" borderId="0" xfId="2" applyFont="1" applyAlignment="1">
      <alignment horizontal="center"/>
    </xf>
    <xf numFmtId="0" fontId="14" fillId="0" borderId="0" xfId="2" applyFont="1" applyAlignment="1">
      <alignment horizontal="left" vertical="center"/>
    </xf>
    <xf numFmtId="0" fontId="36" fillId="0" borderId="0" xfId="2" applyFont="1" applyAlignment="1">
      <alignment vertical="center"/>
    </xf>
    <xf numFmtId="0" fontId="12" fillId="4" borderId="0" xfId="2" applyFont="1" applyFill="1" applyAlignment="1">
      <alignment horizontal="right" vertical="center"/>
    </xf>
    <xf numFmtId="0" fontId="13" fillId="11" borderId="0" xfId="2" applyFont="1" applyFill="1" applyAlignment="1">
      <alignment vertical="center"/>
    </xf>
    <xf numFmtId="0" fontId="60" fillId="17" borderId="0" xfId="2" applyFont="1" applyFill="1" applyAlignment="1">
      <alignment horizontal="center" vertical="center"/>
    </xf>
    <xf numFmtId="0" fontId="13" fillId="12" borderId="0" xfId="2" applyFont="1" applyFill="1" applyAlignment="1">
      <alignment vertical="center"/>
    </xf>
    <xf numFmtId="0" fontId="13" fillId="13" borderId="0" xfId="2" applyFont="1" applyFill="1" applyAlignment="1">
      <alignment horizontal="right" vertical="center"/>
    </xf>
    <xf numFmtId="0" fontId="13" fillId="14" borderId="0" xfId="2" applyFont="1" applyFill="1" applyAlignment="1">
      <alignment horizontal="right" vertical="center"/>
    </xf>
    <xf numFmtId="0" fontId="12" fillId="4" borderId="0" xfId="2" applyFont="1" applyFill="1" applyAlignment="1">
      <alignment horizontal="left" vertical="center"/>
    </xf>
    <xf numFmtId="0" fontId="12" fillId="4" borderId="0" xfId="2" applyFont="1" applyFill="1" applyAlignment="1">
      <alignment vertical="center"/>
    </xf>
    <xf numFmtId="3" fontId="12" fillId="4" borderId="0" xfId="2" quotePrefix="1" applyNumberFormat="1" applyFont="1" applyFill="1" applyAlignment="1">
      <alignment horizontal="right" vertical="center"/>
    </xf>
    <xf numFmtId="0" fontId="12" fillId="0" borderId="0" xfId="0" applyFont="1"/>
    <xf numFmtId="2" fontId="13" fillId="13" borderId="0" xfId="2" applyNumberFormat="1" applyFont="1" applyFill="1" applyAlignment="1">
      <alignment horizontal="right" vertical="center"/>
    </xf>
    <xf numFmtId="2" fontId="13" fillId="14" borderId="0" xfId="2" applyNumberFormat="1" applyFont="1" applyFill="1" applyAlignment="1">
      <alignment horizontal="right" vertical="center"/>
    </xf>
    <xf numFmtId="0" fontId="61" fillId="0" borderId="0" xfId="4" applyFont="1" applyAlignment="1">
      <alignment horizontal="center" vertical="center"/>
    </xf>
    <xf numFmtId="0" fontId="62" fillId="0" borderId="0" xfId="4" applyFont="1" applyAlignment="1">
      <alignment horizontal="center" vertical="center"/>
    </xf>
    <xf numFmtId="0" fontId="63" fillId="0" borderId="0" xfId="4" applyFont="1" applyAlignment="1">
      <alignment horizontal="center" vertical="center"/>
    </xf>
    <xf numFmtId="0" fontId="64" fillId="0" borderId="0" xfId="4" applyFont="1" applyAlignment="1">
      <alignment vertical="center"/>
    </xf>
    <xf numFmtId="49" fontId="65" fillId="0" borderId="0" xfId="4" applyNumberFormat="1" applyFont="1" applyAlignment="1">
      <alignment horizontal="right" vertical="center"/>
    </xf>
    <xf numFmtId="49" fontId="65" fillId="0" borderId="0" xfId="4" applyNumberFormat="1" applyFont="1" applyAlignment="1">
      <alignment horizontal="center" vertical="center" wrapText="1"/>
    </xf>
    <xf numFmtId="0" fontId="66" fillId="0" borderId="0" xfId="4" applyFont="1" applyAlignment="1">
      <alignment vertical="center"/>
    </xf>
    <xf numFmtId="0" fontId="10" fillId="0" borderId="0" xfId="4" applyFont="1" applyAlignment="1">
      <alignment vertical="center"/>
    </xf>
    <xf numFmtId="0" fontId="66" fillId="0" borderId="3" xfId="4" applyFont="1" applyBorder="1" applyAlignment="1">
      <alignment horizontal="left" vertical="center"/>
    </xf>
    <xf numFmtId="0" fontId="69" fillId="0" borderId="0" xfId="4" applyFont="1" applyAlignment="1">
      <alignment vertical="center"/>
    </xf>
    <xf numFmtId="0" fontId="64" fillId="0" borderId="0" xfId="4" applyFont="1" applyAlignment="1">
      <alignment horizontal="center" vertical="center"/>
    </xf>
    <xf numFmtId="0" fontId="71" fillId="0" borderId="3" xfId="4" applyFont="1" applyBorder="1" applyAlignment="1">
      <alignment horizontal="left" vertical="center"/>
    </xf>
    <xf numFmtId="0" fontId="68" fillId="0" borderId="3" xfId="4" applyFont="1" applyBorder="1" applyAlignment="1">
      <alignment horizontal="left" vertical="center"/>
    </xf>
    <xf numFmtId="0" fontId="70" fillId="0" borderId="3" xfId="4" applyFont="1" applyBorder="1" applyAlignment="1">
      <alignment horizontal="right" vertical="center"/>
    </xf>
    <xf numFmtId="0" fontId="70" fillId="0" borderId="3" xfId="4" applyFont="1" applyBorder="1" applyAlignment="1">
      <alignment horizontal="right" vertical="top"/>
    </xf>
    <xf numFmtId="49" fontId="70" fillId="0" borderId="3" xfId="4" applyNumberFormat="1" applyFont="1" applyBorder="1" applyAlignment="1">
      <alignment horizontal="right" vertical="top"/>
    </xf>
    <xf numFmtId="0" fontId="5" fillId="0" borderId="0" xfId="4" applyAlignment="1">
      <alignment vertical="center"/>
    </xf>
    <xf numFmtId="0" fontId="5" fillId="0" borderId="0" xfId="4" applyAlignment="1">
      <alignment vertical="center" wrapText="1"/>
    </xf>
    <xf numFmtId="0" fontId="67" fillId="0" borderId="0" xfId="4" applyFont="1" applyAlignment="1">
      <alignment horizontal="left" wrapText="1"/>
    </xf>
    <xf numFmtId="0" fontId="66" fillId="0" borderId="0" xfId="4" applyFont="1" applyAlignment="1" applyProtection="1">
      <alignment horizontal="left" vertical="center"/>
      <protection locked="0"/>
    </xf>
    <xf numFmtId="0" fontId="5" fillId="5" borderId="0" xfId="4" applyFill="1" applyAlignment="1">
      <alignment vertical="center"/>
    </xf>
    <xf numFmtId="2" fontId="5" fillId="0" borderId="0" xfId="4" applyNumberFormat="1" applyAlignment="1">
      <alignment vertical="center"/>
    </xf>
    <xf numFmtId="0" fontId="66" fillId="0" borderId="0" xfId="4" applyFont="1" applyAlignment="1">
      <alignment horizontal="right" vertical="center"/>
    </xf>
    <xf numFmtId="0" fontId="5" fillId="0" borderId="0" xfId="4" applyAlignment="1" applyProtection="1">
      <alignment horizontal="center" vertical="center"/>
      <protection locked="0"/>
    </xf>
    <xf numFmtId="0" fontId="5" fillId="0" borderId="0" xfId="4" applyAlignment="1">
      <alignment horizontal="left" vertical="center"/>
    </xf>
    <xf numFmtId="0" fontId="72" fillId="0" borderId="0" xfId="4" applyFont="1" applyAlignment="1">
      <alignment vertical="center"/>
    </xf>
    <xf numFmtId="0" fontId="67" fillId="0" borderId="0" xfId="4" applyFont="1" applyAlignment="1">
      <alignment horizontal="right" vertical="center" wrapText="1"/>
    </xf>
    <xf numFmtId="0" fontId="73" fillId="0" borderId="0" xfId="4" applyFont="1" applyAlignment="1">
      <alignment horizontal="center" vertical="center"/>
    </xf>
    <xf numFmtId="0" fontId="74" fillId="0" borderId="0" xfId="4" applyFont="1" applyAlignment="1">
      <alignment vertical="center"/>
    </xf>
    <xf numFmtId="0" fontId="75" fillId="0" borderId="0" xfId="4" applyFont="1" applyAlignment="1">
      <alignment vertical="center"/>
    </xf>
    <xf numFmtId="0" fontId="73" fillId="0" borderId="0" xfId="4" applyFont="1" applyAlignment="1">
      <alignment horizontal="left" vertical="center"/>
    </xf>
    <xf numFmtId="14" fontId="66" fillId="0" borderId="0" xfId="4" applyNumberFormat="1" applyFont="1" applyAlignment="1" applyProtection="1">
      <alignment horizontal="left" vertical="center"/>
      <protection locked="0"/>
    </xf>
    <xf numFmtId="0" fontId="5" fillId="0" borderId="3" xfId="4" applyBorder="1" applyAlignment="1">
      <alignment vertical="center"/>
    </xf>
    <xf numFmtId="0" fontId="76" fillId="0" borderId="0" xfId="4" applyFont="1" applyAlignment="1">
      <alignment horizontal="center" vertical="center"/>
    </xf>
    <xf numFmtId="0" fontId="7" fillId="0" borderId="0" xfId="4" applyFont="1" applyAlignment="1">
      <alignment horizontal="center" vertical="center"/>
    </xf>
    <xf numFmtId="0" fontId="5" fillId="5" borderId="0" xfId="4" applyFill="1" applyAlignment="1" applyProtection="1">
      <alignment vertical="center"/>
      <protection locked="0"/>
    </xf>
    <xf numFmtId="0" fontId="71" fillId="0" borderId="15" xfId="4" applyFont="1" applyBorder="1" applyAlignment="1">
      <alignment horizontal="left" vertical="center"/>
    </xf>
    <xf numFmtId="0" fontId="5" fillId="0" borderId="15" xfId="4" applyBorder="1" applyAlignment="1">
      <alignment vertical="center"/>
    </xf>
    <xf numFmtId="0" fontId="5" fillId="0" borderId="15" xfId="4" applyBorder="1" applyAlignment="1">
      <alignment horizontal="left" vertical="center"/>
    </xf>
    <xf numFmtId="0" fontId="5" fillId="0" borderId="15" xfId="4" applyBorder="1" applyAlignment="1">
      <alignment horizontal="right" vertical="center"/>
    </xf>
    <xf numFmtId="0" fontId="5" fillId="0" borderId="0" xfId="4" applyAlignment="1" applyProtection="1">
      <alignment vertical="center"/>
      <protection locked="0"/>
    </xf>
    <xf numFmtId="0" fontId="5" fillId="5" borderId="0" xfId="4" quotePrefix="1" applyFill="1" applyAlignment="1" applyProtection="1">
      <alignment vertical="center"/>
      <protection locked="0"/>
    </xf>
    <xf numFmtId="0" fontId="68" fillId="0" borderId="0" xfId="4" applyFont="1" applyAlignment="1">
      <alignment horizontal="left" vertical="center"/>
    </xf>
    <xf numFmtId="0" fontId="78" fillId="0" borderId="12" xfId="4" applyFont="1" applyBorder="1" applyAlignment="1">
      <alignment horizontal="left" vertical="center"/>
    </xf>
    <xf numFmtId="0" fontId="5" fillId="0" borderId="12" xfId="4" applyBorder="1" applyAlignment="1">
      <alignment vertical="center"/>
    </xf>
    <xf numFmtId="0" fontId="71" fillId="0" borderId="14" xfId="4" applyFont="1" applyBorder="1" applyAlignment="1">
      <alignment horizontal="left" vertical="center"/>
    </xf>
    <xf numFmtId="0" fontId="5" fillId="0" borderId="14" xfId="4" applyBorder="1" applyAlignment="1">
      <alignment vertical="center"/>
    </xf>
    <xf numFmtId="0" fontId="5" fillId="0" borderId="14" xfId="4" applyBorder="1" applyAlignment="1">
      <alignment horizontal="left" vertical="center"/>
    </xf>
    <xf numFmtId="0" fontId="5" fillId="0" borderId="14" xfId="4" applyBorder="1" applyAlignment="1">
      <alignment horizontal="right" vertical="center"/>
    </xf>
    <xf numFmtId="0" fontId="83" fillId="0" borderId="0" xfId="4" applyFont="1" applyAlignment="1">
      <alignment horizontal="left" vertical="center"/>
    </xf>
    <xf numFmtId="0" fontId="68" fillId="0" borderId="0" xfId="4" applyFont="1" applyAlignment="1">
      <alignment vertical="center"/>
    </xf>
    <xf numFmtId="49" fontId="90" fillId="0" borderId="0" xfId="4" applyNumberFormat="1" applyFont="1" applyAlignment="1">
      <alignment vertical="center"/>
    </xf>
    <xf numFmtId="49" fontId="68" fillId="0" borderId="0" xfId="4" applyNumberFormat="1" applyFont="1" applyAlignment="1">
      <alignment vertical="center"/>
    </xf>
    <xf numFmtId="0" fontId="84" fillId="0" borderId="0" xfId="4" applyFont="1" applyAlignment="1">
      <alignment vertical="center"/>
    </xf>
    <xf numFmtId="0" fontId="66" fillId="0" borderId="15" xfId="4" applyFont="1" applyBorder="1" applyAlignment="1">
      <alignment horizontal="left" vertical="center"/>
    </xf>
    <xf numFmtId="0" fontId="66" fillId="0" borderId="15" xfId="4" applyFont="1" applyBorder="1" applyAlignment="1">
      <alignment vertical="center"/>
    </xf>
    <xf numFmtId="0" fontId="68" fillId="0" borderId="15" xfId="4" applyFont="1" applyBorder="1" applyAlignment="1">
      <alignment horizontal="left" vertical="center"/>
    </xf>
    <xf numFmtId="0" fontId="61" fillId="0" borderId="15" xfId="4" applyFont="1" applyBorder="1" applyAlignment="1">
      <alignment vertical="center"/>
    </xf>
    <xf numFmtId="0" fontId="69" fillId="0" borderId="15" xfId="4" applyFont="1" applyBorder="1" applyAlignment="1">
      <alignment vertical="center"/>
    </xf>
    <xf numFmtId="0" fontId="91" fillId="0" borderId="15" xfId="4" applyFont="1" applyBorder="1" applyAlignment="1">
      <alignment vertical="center"/>
    </xf>
    <xf numFmtId="0" fontId="66" fillId="0" borderId="3" xfId="4" applyFont="1" applyBorder="1" applyAlignment="1">
      <alignment vertical="center"/>
    </xf>
    <xf numFmtId="0" fontId="5" fillId="0" borderId="3" xfId="4" applyBorder="1" applyAlignment="1">
      <alignment horizontal="left" vertical="center"/>
    </xf>
    <xf numFmtId="0" fontId="5" fillId="0" borderId="3" xfId="4" applyBorder="1" applyAlignment="1">
      <alignment horizontal="right" vertical="center"/>
    </xf>
    <xf numFmtId="0" fontId="64" fillId="0" borderId="15" xfId="4" applyFont="1" applyBorder="1" applyAlignment="1">
      <alignment horizontal="center" vertical="center"/>
    </xf>
    <xf numFmtId="0" fontId="82" fillId="0" borderId="0" xfId="4" applyFont="1" applyAlignment="1">
      <alignment horizontal="center" vertical="center"/>
    </xf>
    <xf numFmtId="0" fontId="5" fillId="0" borderId="0" xfId="4" applyAlignment="1" applyProtection="1">
      <alignment horizontal="left" vertical="center"/>
      <protection locked="0"/>
    </xf>
    <xf numFmtId="0" fontId="78" fillId="0" borderId="0" xfId="4" applyFont="1" applyAlignment="1">
      <alignment vertical="center"/>
    </xf>
    <xf numFmtId="49" fontId="61" fillId="0" borderId="0" xfId="4" applyNumberFormat="1" applyFont="1" applyAlignment="1">
      <alignment vertical="center"/>
    </xf>
    <xf numFmtId="0" fontId="64" fillId="5" borderId="0" xfId="4" applyFont="1" applyFill="1" applyAlignment="1">
      <alignment horizontal="center" vertical="center"/>
    </xf>
    <xf numFmtId="0" fontId="68" fillId="0" borderId="0" xfId="0" applyFont="1" applyAlignment="1">
      <alignment vertical="center" wrapText="1"/>
    </xf>
    <xf numFmtId="0" fontId="93" fillId="0" borderId="0" xfId="4" applyFont="1" applyAlignment="1">
      <alignment vertical="top"/>
    </xf>
    <xf numFmtId="0" fontId="68" fillId="0" borderId="0" xfId="4" applyFont="1" applyAlignment="1">
      <alignment horizontal="left" vertical="center" wrapText="1"/>
    </xf>
    <xf numFmtId="0" fontId="68" fillId="0" borderId="0" xfId="4" applyFont="1" applyAlignment="1">
      <alignment horizontal="left" vertical="top"/>
    </xf>
    <xf numFmtId="0" fontId="5" fillId="0" borderId="17" xfId="4" applyBorder="1" applyAlignment="1">
      <alignment vertical="center"/>
    </xf>
    <xf numFmtId="0" fontId="66" fillId="0" borderId="18" xfId="4" applyFont="1" applyBorder="1" applyAlignment="1">
      <alignment vertical="center"/>
    </xf>
    <xf numFmtId="0" fontId="5" fillId="0" borderId="16" xfId="4" applyBorder="1" applyAlignment="1">
      <alignment vertical="center"/>
    </xf>
    <xf numFmtId="0" fontId="94" fillId="0" borderId="16" xfId="4" applyFont="1" applyBorder="1" applyAlignment="1">
      <alignment horizontal="right" vertical="center"/>
    </xf>
    <xf numFmtId="0" fontId="68" fillId="0" borderId="0" xfId="4" applyFont="1" applyAlignment="1">
      <alignment vertical="top"/>
    </xf>
    <xf numFmtId="49" fontId="5" fillId="0" borderId="0" xfId="4" applyNumberFormat="1" applyAlignment="1" applyProtection="1">
      <alignment vertical="center" wrapText="1"/>
      <protection locked="0"/>
    </xf>
    <xf numFmtId="0" fontId="5" fillId="0" borderId="0" xfId="0" applyFont="1" applyAlignment="1">
      <alignment vertical="center" wrapText="1"/>
    </xf>
    <xf numFmtId="0" fontId="66" fillId="0" borderId="0" xfId="4" applyFont="1" applyAlignment="1">
      <alignment horizontal="center" vertical="center"/>
    </xf>
    <xf numFmtId="0" fontId="6" fillId="0" borderId="0" xfId="4" applyFont="1" applyAlignment="1">
      <alignment vertical="center"/>
    </xf>
    <xf numFmtId="0" fontId="96" fillId="0" borderId="0" xfId="4" applyFont="1" applyAlignment="1">
      <alignment vertical="center"/>
    </xf>
    <xf numFmtId="0" fontId="6" fillId="0" borderId="0" xfId="4" applyFont="1" applyAlignment="1">
      <alignment horizontal="left" vertical="center"/>
    </xf>
    <xf numFmtId="0" fontId="96" fillId="0" borderId="0" xfId="4" applyFont="1" applyAlignment="1">
      <alignment horizontal="center" vertical="center"/>
    </xf>
    <xf numFmtId="0" fontId="17" fillId="0" borderId="14" xfId="4" applyFont="1" applyBorder="1" applyAlignment="1">
      <alignment vertical="center"/>
    </xf>
    <xf numFmtId="0" fontId="6" fillId="0" borderId="14" xfId="4" applyFont="1" applyBorder="1" applyAlignment="1">
      <alignment vertical="center"/>
    </xf>
    <xf numFmtId="0" fontId="97" fillId="0" borderId="14" xfId="4" applyFont="1" applyBorder="1" applyAlignment="1">
      <alignment vertical="center"/>
    </xf>
    <xf numFmtId="0" fontId="17" fillId="0" borderId="14" xfId="4" applyFont="1" applyBorder="1" applyAlignment="1">
      <alignment horizontal="right" vertical="center"/>
    </xf>
    <xf numFmtId="0" fontId="96" fillId="0" borderId="14" xfId="4" applyFont="1" applyBorder="1" applyAlignment="1">
      <alignment horizontal="center" vertical="center"/>
    </xf>
    <xf numFmtId="0" fontId="16" fillId="0" borderId="9" xfId="4" applyFont="1" applyBorder="1" applyAlignment="1">
      <alignment horizontal="left" vertical="center"/>
    </xf>
    <xf numFmtId="2" fontId="100" fillId="0" borderId="9" xfId="4" applyNumberFormat="1" applyFont="1" applyBorder="1" applyAlignment="1">
      <alignment horizontal="left" vertical="center"/>
    </xf>
    <xf numFmtId="2" fontId="101" fillId="0" borderId="9" xfId="4" applyNumberFormat="1" applyFont="1" applyBorder="1" applyAlignment="1">
      <alignment horizontal="right" vertical="center"/>
    </xf>
    <xf numFmtId="0" fontId="106" fillId="0" borderId="13" xfId="4" quotePrefix="1" applyFont="1" applyBorder="1" applyAlignment="1">
      <alignment horizontal="left" vertical="top"/>
    </xf>
    <xf numFmtId="0" fontId="12" fillId="0" borderId="13" xfId="4" applyFont="1" applyBorder="1" applyAlignment="1">
      <alignment vertical="center"/>
    </xf>
    <xf numFmtId="166" fontId="110" fillId="23" borderId="27" xfId="4" applyNumberFormat="1" applyFont="1" applyFill="1" applyBorder="1" applyAlignment="1" applyProtection="1">
      <alignment horizontal="right" vertical="center"/>
      <protection locked="0"/>
    </xf>
    <xf numFmtId="166" fontId="110" fillId="23" borderId="28" xfId="4" applyNumberFormat="1" applyFont="1" applyFill="1" applyBorder="1" applyAlignment="1" applyProtection="1">
      <alignment horizontal="right" vertical="center"/>
      <protection locked="0"/>
    </xf>
    <xf numFmtId="0" fontId="101" fillId="0" borderId="9" xfId="4" applyFont="1" applyBorder="1" applyAlignment="1">
      <alignment horizontal="right" vertical="center"/>
    </xf>
    <xf numFmtId="0" fontId="106" fillId="0" borderId="0" xfId="4" quotePrefix="1" applyFont="1" applyAlignment="1">
      <alignment horizontal="left" vertical="top"/>
    </xf>
    <xf numFmtId="166" fontId="110" fillId="23" borderId="27" xfId="4" applyNumberFormat="1" applyFont="1" applyFill="1" applyBorder="1" applyAlignment="1">
      <alignment horizontal="right" vertical="center"/>
    </xf>
    <xf numFmtId="166" fontId="110" fillId="23" borderId="28" xfId="4" applyNumberFormat="1" applyFont="1" applyFill="1" applyBorder="1" applyAlignment="1">
      <alignment horizontal="right" vertical="center"/>
    </xf>
    <xf numFmtId="0" fontId="6" fillId="0" borderId="9" xfId="4" applyFont="1" applyBorder="1" applyAlignment="1">
      <alignment vertical="center"/>
    </xf>
    <xf numFmtId="0" fontId="111" fillId="0" borderId="0" xfId="4" applyFont="1" applyAlignment="1">
      <alignment horizontal="left" vertical="center"/>
    </xf>
    <xf numFmtId="0" fontId="113" fillId="0" borderId="0" xfId="4" applyFont="1" applyAlignment="1">
      <alignment horizontal="right" vertical="center"/>
    </xf>
    <xf numFmtId="0" fontId="113" fillId="0" borderId="0" xfId="4" applyFont="1" applyAlignment="1">
      <alignment vertical="center"/>
    </xf>
    <xf numFmtId="2" fontId="100" fillId="0" borderId="0" xfId="4" applyNumberFormat="1" applyFont="1" applyAlignment="1">
      <alignment horizontal="left" vertical="center"/>
    </xf>
    <xf numFmtId="0" fontId="116" fillId="0" borderId="0" xfId="4" applyFont="1" applyAlignment="1">
      <alignment vertical="center"/>
    </xf>
    <xf numFmtId="0" fontId="116" fillId="0" borderId="0" xfId="4" applyFont="1" applyAlignment="1">
      <alignment horizontal="right" vertical="center" wrapText="1"/>
    </xf>
    <xf numFmtId="0" fontId="117" fillId="0" borderId="0" xfId="4" applyFont="1" applyAlignment="1">
      <alignment vertical="center"/>
    </xf>
    <xf numFmtId="0" fontId="6" fillId="0" borderId="0" xfId="4" applyFont="1" applyAlignment="1">
      <alignment horizontal="centerContinuous" vertical="center"/>
    </xf>
    <xf numFmtId="0" fontId="118" fillId="0" borderId="0" xfId="4" applyFont="1" applyAlignment="1">
      <alignment vertical="center"/>
    </xf>
    <xf numFmtId="0" fontId="113" fillId="0" borderId="0" xfId="4" applyFont="1" applyAlignment="1">
      <alignment horizontal="left" vertical="center"/>
    </xf>
    <xf numFmtId="0" fontId="119" fillId="0" borderId="0" xfId="4" quotePrefix="1" applyFont="1" applyAlignment="1">
      <alignment horizontal="right" vertical="center"/>
    </xf>
    <xf numFmtId="0" fontId="111" fillId="0" borderId="30" xfId="4" applyFont="1" applyBorder="1" applyAlignment="1">
      <alignment horizontal="left" vertical="center"/>
    </xf>
    <xf numFmtId="0" fontId="120" fillId="0" borderId="0" xfId="4" quotePrefix="1" applyFont="1" applyAlignment="1">
      <alignment horizontal="right" vertical="center"/>
    </xf>
    <xf numFmtId="0" fontId="111" fillId="0" borderId="17" xfId="4" applyFont="1" applyBorder="1" applyAlignment="1">
      <alignment horizontal="left" vertical="center"/>
    </xf>
    <xf numFmtId="0" fontId="119" fillId="0" borderId="9" xfId="4" quotePrefix="1" applyFont="1" applyBorder="1" applyAlignment="1">
      <alignment horizontal="right" vertical="center"/>
    </xf>
    <xf numFmtId="2" fontId="101" fillId="0" borderId="16" xfId="4" applyNumberFormat="1" applyFont="1" applyBorder="1" applyAlignment="1">
      <alignment horizontal="right" vertical="center"/>
    </xf>
    <xf numFmtId="0" fontId="6" fillId="0" borderId="16" xfId="4" applyFont="1" applyBorder="1" applyAlignment="1">
      <alignment vertical="center"/>
    </xf>
    <xf numFmtId="0" fontId="111" fillId="0" borderId="31" xfId="4" applyFont="1" applyBorder="1" applyAlignment="1">
      <alignment horizontal="left" vertical="center"/>
    </xf>
    <xf numFmtId="20" fontId="6" fillId="0" borderId="0" xfId="4" applyNumberFormat="1" applyFont="1" applyAlignment="1" applyProtection="1">
      <alignment horizontal="left" vertical="center"/>
      <protection locked="0"/>
    </xf>
    <xf numFmtId="0" fontId="119" fillId="0" borderId="16" xfId="4" quotePrefix="1" applyFont="1" applyBorder="1" applyAlignment="1">
      <alignment horizontal="right" vertical="center"/>
    </xf>
    <xf numFmtId="3" fontId="6" fillId="0" borderId="16" xfId="4" applyNumberFormat="1" applyFont="1" applyBorder="1" applyAlignment="1" applyProtection="1">
      <alignment horizontal="left" vertical="center"/>
      <protection locked="0"/>
    </xf>
    <xf numFmtId="0" fontId="6" fillId="0" borderId="0" xfId="4" applyFont="1" applyAlignment="1" applyProtection="1">
      <alignment horizontal="left" vertical="center"/>
      <protection locked="0"/>
    </xf>
    <xf numFmtId="3" fontId="6" fillId="0" borderId="0" xfId="4" applyNumberFormat="1" applyFont="1" applyAlignment="1" applyProtection="1">
      <alignment horizontal="left" vertical="center"/>
      <protection locked="0"/>
    </xf>
    <xf numFmtId="0" fontId="6" fillId="0" borderId="9" xfId="4" applyFont="1" applyBorder="1" applyAlignment="1" applyProtection="1">
      <alignment horizontal="left" vertical="center"/>
      <protection locked="0"/>
    </xf>
    <xf numFmtId="0" fontId="17" fillId="0" borderId="14" xfId="4" applyFont="1" applyBorder="1" applyAlignment="1">
      <alignment horizontal="left" vertical="center"/>
    </xf>
    <xf numFmtId="0" fontId="16" fillId="0" borderId="0" xfId="4" applyFont="1" applyAlignment="1">
      <alignment horizontal="left" vertical="center" wrapText="1"/>
    </xf>
    <xf numFmtId="0" fontId="16" fillId="0" borderId="9" xfId="4" applyFont="1" applyBorder="1" applyAlignment="1">
      <alignment horizontal="left" vertical="center" wrapText="1"/>
    </xf>
    <xf numFmtId="0" fontId="16" fillId="0" borderId="13" xfId="4" applyFont="1" applyBorder="1" applyAlignment="1">
      <alignment horizontal="left" vertical="center" wrapText="1"/>
    </xf>
    <xf numFmtId="0" fontId="12" fillId="25" borderId="20" xfId="2" applyFont="1" applyFill="1" applyBorder="1" applyAlignment="1">
      <alignment horizontal="left" vertical="center" wrapText="1"/>
    </xf>
    <xf numFmtId="0" fontId="121" fillId="0" borderId="0" xfId="4" applyFont="1" applyAlignment="1">
      <alignment vertical="center"/>
    </xf>
    <xf numFmtId="0" fontId="122" fillId="0" borderId="0" xfId="4" applyFont="1" applyAlignment="1">
      <alignment vertical="center"/>
    </xf>
    <xf numFmtId="0" fontId="33" fillId="0" borderId="0" xfId="4" applyFont="1" applyAlignment="1">
      <alignment horizontal="left" vertical="center"/>
    </xf>
    <xf numFmtId="2" fontId="6" fillId="0" borderId="0" xfId="4" applyNumberFormat="1" applyFont="1" applyAlignment="1">
      <alignment vertical="center"/>
    </xf>
    <xf numFmtId="0" fontId="6" fillId="0" borderId="0" xfId="4" applyFont="1" applyAlignment="1" applyProtection="1">
      <alignment vertical="center"/>
      <protection locked="0"/>
    </xf>
    <xf numFmtId="0" fontId="124" fillId="0" borderId="0" xfId="4" applyFont="1" applyAlignment="1">
      <alignment vertical="center"/>
    </xf>
    <xf numFmtId="0" fontId="125" fillId="0" borderId="0" xfId="4" applyFont="1" applyAlignment="1">
      <alignment horizontal="center" vertical="center"/>
    </xf>
    <xf numFmtId="0" fontId="107" fillId="0" borderId="0" xfId="4" applyFont="1" applyAlignment="1">
      <alignment vertical="center"/>
    </xf>
    <xf numFmtId="0" fontId="107" fillId="0" borderId="0" xfId="4" applyFont="1" applyAlignment="1" applyProtection="1">
      <alignment vertical="center"/>
      <protection locked="0"/>
    </xf>
    <xf numFmtId="0" fontId="6" fillId="0" borderId="0" xfId="4" applyFont="1" applyAlignment="1">
      <alignment horizontal="center" vertical="center"/>
    </xf>
    <xf numFmtId="0" fontId="126" fillId="0" borderId="0" xfId="4" applyFont="1" applyAlignment="1">
      <alignment vertical="center"/>
    </xf>
    <xf numFmtId="0" fontId="16" fillId="0" borderId="35" xfId="4" applyFont="1" applyBorder="1" applyAlignment="1">
      <alignment vertical="center"/>
    </xf>
    <xf numFmtId="0" fontId="34" fillId="0" borderId="36" xfId="4" applyFont="1" applyBorder="1" applyAlignment="1" applyProtection="1">
      <alignment vertical="center"/>
      <protection locked="0"/>
    </xf>
    <xf numFmtId="0" fontId="16" fillId="0" borderId="36" xfId="4" applyFont="1" applyBorder="1" applyAlignment="1">
      <alignment vertical="center"/>
    </xf>
    <xf numFmtId="0" fontId="14" fillId="0" borderId="36" xfId="4" applyFont="1" applyBorder="1" applyAlignment="1">
      <alignment vertical="center"/>
    </xf>
    <xf numFmtId="0" fontId="14" fillId="0" borderId="37" xfId="4" applyFont="1" applyBorder="1" applyAlignment="1">
      <alignment vertical="center"/>
    </xf>
    <xf numFmtId="0" fontId="16" fillId="0" borderId="38" xfId="4" applyFont="1" applyBorder="1" applyAlignment="1">
      <alignment vertical="center"/>
    </xf>
    <xf numFmtId="0" fontId="23" fillId="0" borderId="0" xfId="4" applyFont="1" applyAlignment="1" applyProtection="1">
      <alignment vertical="center"/>
      <protection locked="0"/>
    </xf>
    <xf numFmtId="0" fontId="14" fillId="0" borderId="0" xfId="4" applyFont="1" applyAlignment="1">
      <alignment vertical="center"/>
    </xf>
    <xf numFmtId="0" fontId="14" fillId="0" borderId="39" xfId="4" applyFont="1" applyBorder="1" applyAlignment="1">
      <alignment vertical="center"/>
    </xf>
    <xf numFmtId="0" fontId="99" fillId="0" borderId="0" xfId="4" applyFont="1" applyAlignment="1" applyProtection="1">
      <alignment vertical="center"/>
      <protection locked="0"/>
    </xf>
    <xf numFmtId="0" fontId="14" fillId="0" borderId="9" xfId="4" applyFont="1" applyBorder="1" applyAlignment="1">
      <alignment vertical="center"/>
    </xf>
    <xf numFmtId="3" fontId="16" fillId="6" borderId="24" xfId="4" applyNumberFormat="1" applyFont="1" applyFill="1" applyBorder="1" applyAlignment="1" applyProtection="1">
      <alignment horizontal="right" vertical="center"/>
      <protection locked="0"/>
    </xf>
    <xf numFmtId="0" fontId="101" fillId="0" borderId="9" xfId="4" applyFont="1" applyBorder="1" applyAlignment="1">
      <alignment vertical="center"/>
    </xf>
    <xf numFmtId="0" fontId="127" fillId="0" borderId="0" xfId="4" applyFont="1" applyAlignment="1">
      <alignment horizontal="left" vertical="center"/>
    </xf>
    <xf numFmtId="0" fontId="16" fillId="0" borderId="8" xfId="4" applyFont="1" applyBorder="1" applyAlignment="1">
      <alignment horizontal="left" vertical="center"/>
    </xf>
    <xf numFmtId="0" fontId="14" fillId="0" borderId="8" xfId="4" applyFont="1" applyBorder="1" applyAlignment="1">
      <alignment vertical="center"/>
    </xf>
    <xf numFmtId="3" fontId="16" fillId="6" borderId="25" xfId="4" applyNumberFormat="1" applyFont="1" applyFill="1" applyBorder="1" applyAlignment="1" applyProtection="1">
      <alignment horizontal="right" vertical="center"/>
      <protection locked="0"/>
    </xf>
    <xf numFmtId="0" fontId="101" fillId="0" borderId="10" xfId="4" applyFont="1" applyBorder="1" applyAlignment="1">
      <alignment vertical="center"/>
    </xf>
    <xf numFmtId="2" fontId="6" fillId="0" borderId="0" xfId="4" quotePrefix="1" applyNumberFormat="1" applyFont="1" applyAlignment="1">
      <alignment vertical="center"/>
    </xf>
    <xf numFmtId="0" fontId="128" fillId="0" borderId="8" xfId="4" applyFont="1" applyBorder="1" applyAlignment="1">
      <alignment horizontal="left" vertical="center"/>
    </xf>
    <xf numFmtId="0" fontId="27" fillId="0" borderId="8" xfId="4" applyFont="1" applyBorder="1" applyAlignment="1">
      <alignment horizontal="left" vertical="center"/>
    </xf>
    <xf numFmtId="4" fontId="16" fillId="6" borderId="25" xfId="4" applyNumberFormat="1" applyFont="1" applyFill="1" applyBorder="1" applyAlignment="1" applyProtection="1">
      <alignment horizontal="right" vertical="center"/>
      <protection locked="0"/>
    </xf>
    <xf numFmtId="0" fontId="129" fillId="0" borderId="8" xfId="4" applyFont="1" applyBorder="1" applyAlignment="1">
      <alignment vertical="center"/>
    </xf>
    <xf numFmtId="0" fontId="129" fillId="0" borderId="8" xfId="4" applyFont="1" applyBorder="1" applyAlignment="1">
      <alignment horizontal="left" vertical="center"/>
    </xf>
    <xf numFmtId="3" fontId="16" fillId="6" borderId="29" xfId="4" applyNumberFormat="1" applyFont="1" applyFill="1" applyBorder="1" applyAlignment="1" applyProtection="1">
      <alignment horizontal="right" vertical="center"/>
      <protection locked="0"/>
    </xf>
    <xf numFmtId="0" fontId="95" fillId="26" borderId="0" xfId="4" applyFont="1" applyFill="1" applyAlignment="1">
      <alignment vertical="center"/>
    </xf>
    <xf numFmtId="0" fontId="16" fillId="3" borderId="24" xfId="4" applyFont="1" applyFill="1" applyBorder="1" applyAlignment="1">
      <alignment vertical="center"/>
    </xf>
    <xf numFmtId="0" fontId="16" fillId="3" borderId="25" xfId="4" applyFont="1" applyFill="1" applyBorder="1" applyAlignment="1">
      <alignment vertical="center"/>
    </xf>
    <xf numFmtId="0" fontId="129" fillId="0" borderId="9" xfId="4" applyFont="1" applyBorder="1" applyAlignment="1">
      <alignment horizontal="left" vertical="center"/>
    </xf>
    <xf numFmtId="0" fontId="129" fillId="0" borderId="9" xfId="4" applyFont="1" applyBorder="1" applyAlignment="1">
      <alignment vertical="center"/>
    </xf>
    <xf numFmtId="0" fontId="101" fillId="0" borderId="16" xfId="4" applyFont="1" applyBorder="1" applyAlignment="1">
      <alignment vertical="center"/>
    </xf>
    <xf numFmtId="0" fontId="34" fillId="0" borderId="2" xfId="4" applyFont="1" applyBorder="1" applyAlignment="1" applyProtection="1">
      <alignment vertical="center"/>
      <protection locked="0"/>
    </xf>
    <xf numFmtId="0" fontId="16" fillId="0" borderId="2" xfId="4" applyFont="1" applyBorder="1" applyAlignment="1">
      <alignment vertical="center"/>
    </xf>
    <xf numFmtId="0" fontId="14" fillId="0" borderId="2" xfId="4" applyFont="1" applyBorder="1" applyAlignment="1">
      <alignment vertical="center"/>
    </xf>
    <xf numFmtId="4" fontId="16" fillId="6" borderId="29" xfId="4" applyNumberFormat="1" applyFont="1" applyFill="1" applyBorder="1" applyAlignment="1" applyProtection="1">
      <alignment horizontal="right" vertical="center"/>
      <protection locked="0"/>
    </xf>
    <xf numFmtId="0" fontId="128" fillId="0" borderId="9" xfId="4" applyFont="1" applyBorder="1" applyAlignment="1">
      <alignment horizontal="left" vertical="center"/>
    </xf>
    <xf numFmtId="0" fontId="27" fillId="0" borderId="2" xfId="4" applyFont="1" applyBorder="1" applyAlignment="1">
      <alignment horizontal="left" vertical="center"/>
    </xf>
    <xf numFmtId="166" fontId="16" fillId="6" borderId="25" xfId="4" applyNumberFormat="1" applyFont="1" applyFill="1" applyBorder="1" applyAlignment="1" applyProtection="1">
      <alignment horizontal="right" vertical="center"/>
      <protection locked="0"/>
    </xf>
    <xf numFmtId="167" fontId="21" fillId="26" borderId="0" xfId="4" applyNumberFormat="1" applyFont="1" applyFill="1" applyAlignment="1">
      <alignment horizontal="center" vertical="center"/>
    </xf>
    <xf numFmtId="0" fontId="21" fillId="26" borderId="0" xfId="4" applyFont="1" applyFill="1" applyAlignment="1">
      <alignment vertical="center"/>
    </xf>
    <xf numFmtId="0" fontId="27" fillId="0" borderId="10" xfId="4" applyFont="1" applyBorder="1" applyAlignment="1">
      <alignment horizontal="left" vertical="center"/>
    </xf>
    <xf numFmtId="0" fontId="14" fillId="0" borderId="10" xfId="4" applyFont="1" applyBorder="1" applyAlignment="1">
      <alignment horizontal="right" vertical="center"/>
    </xf>
    <xf numFmtId="0" fontId="14" fillId="0" borderId="10" xfId="4" applyFont="1" applyBorder="1" applyAlignment="1">
      <alignment vertical="center"/>
    </xf>
    <xf numFmtId="0" fontId="95" fillId="26" borderId="0" xfId="4" applyFont="1" applyFill="1" applyAlignment="1">
      <alignment horizontal="center" vertical="center"/>
    </xf>
    <xf numFmtId="0" fontId="129" fillId="0" borderId="11" xfId="4" applyFont="1" applyBorder="1" applyAlignment="1">
      <alignment horizontal="left" vertical="center"/>
    </xf>
    <xf numFmtId="0" fontId="27" fillId="0" borderId="11" xfId="4" applyFont="1" applyBorder="1" applyAlignment="1">
      <alignment horizontal="left" vertical="center"/>
    </xf>
    <xf numFmtId="0" fontId="130" fillId="0" borderId="0" xfId="4" applyFont="1" applyAlignment="1">
      <alignment horizontal="center" vertical="center"/>
    </xf>
    <xf numFmtId="0" fontId="20" fillId="0" borderId="0" xfId="4" applyFont="1" applyAlignment="1">
      <alignment horizontal="left" vertical="center"/>
    </xf>
    <xf numFmtId="4" fontId="14" fillId="0" borderId="2" xfId="4" applyNumberFormat="1" applyFont="1" applyBorder="1" applyAlignment="1" applyProtection="1">
      <alignment horizontal="right" vertical="center"/>
      <protection locked="0"/>
    </xf>
    <xf numFmtId="0" fontId="131" fillId="0" borderId="0" xfId="4" applyFont="1" applyAlignment="1">
      <alignment horizontal="center" vertical="center"/>
    </xf>
    <xf numFmtId="0" fontId="132" fillId="0" borderId="0" xfId="4" applyFont="1" applyAlignment="1">
      <alignment vertical="center"/>
    </xf>
    <xf numFmtId="0" fontId="14" fillId="0" borderId="42" xfId="4" applyFont="1" applyBorder="1" applyAlignment="1">
      <alignment vertical="center"/>
    </xf>
    <xf numFmtId="0" fontId="96" fillId="0" borderId="0" xfId="4" applyFont="1" applyAlignment="1" applyProtection="1">
      <alignment vertical="center"/>
      <protection locked="0"/>
    </xf>
    <xf numFmtId="0" fontId="119" fillId="0" borderId="0" xfId="4" applyFont="1" applyAlignment="1">
      <alignment horizontal="left" vertical="center"/>
    </xf>
    <xf numFmtId="4" fontId="6" fillId="0" borderId="0" xfId="4" applyNumberFormat="1" applyFont="1" applyAlignment="1" applyProtection="1">
      <alignment horizontal="left" vertical="center"/>
      <protection locked="0"/>
    </xf>
    <xf numFmtId="168" fontId="6" fillId="0" borderId="0" xfId="4" applyNumberFormat="1" applyFont="1" applyAlignment="1" applyProtection="1">
      <alignment horizontal="right" vertical="center"/>
      <protection locked="0"/>
    </xf>
    <xf numFmtId="4" fontId="113" fillId="0" borderId="0" xfId="4" applyNumberFormat="1" applyFont="1" applyAlignment="1">
      <alignment vertical="center"/>
    </xf>
    <xf numFmtId="49" fontId="113" fillId="0" borderId="0" xfId="4" applyNumberFormat="1" applyFont="1" applyAlignment="1">
      <alignment vertical="center"/>
    </xf>
    <xf numFmtId="0" fontId="133" fillId="0" borderId="0" xfId="4" applyFont="1" applyAlignment="1">
      <alignment vertical="center"/>
    </xf>
    <xf numFmtId="0" fontId="104" fillId="0" borderId="0" xfId="4" applyFont="1" applyAlignment="1">
      <alignment horizontal="left" vertical="center"/>
    </xf>
    <xf numFmtId="0" fontId="117" fillId="0" borderId="0" xfId="4" applyFont="1" applyAlignment="1">
      <alignment horizontal="left" vertical="center"/>
    </xf>
    <xf numFmtId="0" fontId="134" fillId="0" borderId="0" xfId="4" applyFont="1" applyAlignment="1">
      <alignment vertical="center"/>
    </xf>
    <xf numFmtId="0" fontId="111" fillId="0" borderId="0" xfId="4" applyFont="1" applyAlignment="1">
      <alignment vertical="center"/>
    </xf>
    <xf numFmtId="3" fontId="6" fillId="0" borderId="0" xfId="4" applyNumberFormat="1" applyFont="1" applyAlignment="1">
      <alignment vertical="center"/>
    </xf>
    <xf numFmtId="3" fontId="6" fillId="0" borderId="0" xfId="4" applyNumberFormat="1" applyFont="1" applyAlignment="1">
      <alignment horizontal="left" vertical="center"/>
    </xf>
    <xf numFmtId="3" fontId="6" fillId="0" borderId="0" xfId="4" quotePrefix="1" applyNumberFormat="1" applyFont="1" applyAlignment="1">
      <alignment horizontal="center" vertical="center"/>
    </xf>
    <xf numFmtId="3" fontId="6" fillId="0" borderId="0" xfId="4" applyNumberFormat="1" applyFont="1" applyAlignment="1" applyProtection="1">
      <alignment horizontal="right" vertical="center"/>
      <protection locked="0"/>
    </xf>
    <xf numFmtId="49" fontId="113" fillId="0" borderId="0" xfId="4" applyNumberFormat="1" applyFont="1" applyAlignment="1">
      <alignment horizontal="center" vertical="center"/>
    </xf>
    <xf numFmtId="3" fontId="6" fillId="0" borderId="0" xfId="1" applyNumberFormat="1" applyFont="1" applyFill="1" applyBorder="1" applyAlignment="1" applyProtection="1">
      <alignment horizontal="right" vertical="center"/>
      <protection locked="0"/>
    </xf>
    <xf numFmtId="0" fontId="6" fillId="0" borderId="0" xfId="4" applyFont="1" applyAlignment="1">
      <alignment horizontal="right" vertical="center"/>
    </xf>
    <xf numFmtId="0" fontId="111" fillId="0" borderId="0" xfId="4" applyFont="1" applyAlignment="1">
      <alignment horizontal="right" vertical="center"/>
    </xf>
    <xf numFmtId="0" fontId="107" fillId="0" borderId="0" xfId="4" quotePrefix="1" applyFont="1" applyAlignment="1">
      <alignment horizontal="right" vertical="center"/>
    </xf>
    <xf numFmtId="166" fontId="117" fillId="0" borderId="0" xfId="4" applyNumberFormat="1" applyFont="1" applyAlignment="1" applyProtection="1">
      <alignment horizontal="right" vertical="center"/>
      <protection locked="0"/>
    </xf>
    <xf numFmtId="0" fontId="111" fillId="0" borderId="0" xfId="4" quotePrefix="1" applyFont="1" applyAlignment="1">
      <alignment horizontal="right" vertical="center"/>
    </xf>
    <xf numFmtId="166" fontId="120" fillId="0" borderId="0" xfId="4" applyNumberFormat="1" applyFont="1" applyAlignment="1" applyProtection="1">
      <alignment horizontal="right" vertical="center"/>
      <protection locked="0"/>
    </xf>
    <xf numFmtId="0" fontId="135" fillId="0" borderId="0" xfId="4" applyFont="1" applyAlignment="1">
      <alignment horizontal="left" vertical="center"/>
    </xf>
    <xf numFmtId="0" fontId="113" fillId="0" borderId="0" xfId="4" quotePrefix="1" applyFont="1" applyAlignment="1">
      <alignment horizontal="left" vertical="center"/>
    </xf>
    <xf numFmtId="166" fontId="6" fillId="0" borderId="0" xfId="4" applyNumberFormat="1" applyFont="1" applyAlignment="1" applyProtection="1">
      <alignment horizontal="right" vertical="center"/>
      <protection locked="0"/>
    </xf>
    <xf numFmtId="0" fontId="8" fillId="0" borderId="0" xfId="4" applyFont="1" applyAlignment="1">
      <alignment vertical="center"/>
    </xf>
    <xf numFmtId="0" fontId="120" fillId="0" borderId="0" xfId="4" applyFont="1" applyAlignment="1" applyProtection="1">
      <alignment horizontal="left" vertical="center"/>
      <protection locked="0"/>
    </xf>
    <xf numFmtId="1" fontId="6" fillId="0" borderId="0" xfId="4" applyNumberFormat="1" applyFont="1" applyAlignment="1" applyProtection="1">
      <alignment horizontal="right" vertical="center"/>
      <protection locked="0"/>
    </xf>
    <xf numFmtId="49" fontId="6" fillId="0" borderId="0" xfId="4" applyNumberFormat="1" applyFont="1" applyAlignment="1" applyProtection="1">
      <alignment horizontal="left" vertical="center"/>
      <protection locked="0"/>
    </xf>
    <xf numFmtId="167" fontId="6" fillId="0" borderId="0" xfId="4" applyNumberFormat="1" applyFont="1" applyAlignment="1" applyProtection="1">
      <alignment horizontal="right" vertical="center"/>
      <protection locked="0"/>
    </xf>
    <xf numFmtId="0" fontId="113" fillId="0" borderId="0" xfId="4" applyFont="1" applyAlignment="1">
      <alignment horizontal="left" vertical="center" wrapText="1"/>
    </xf>
    <xf numFmtId="0" fontId="113" fillId="0" borderId="0" xfId="4" applyFont="1" applyAlignment="1">
      <alignment horizontal="right" vertical="center" wrapText="1"/>
    </xf>
    <xf numFmtId="0" fontId="6" fillId="0" borderId="0" xfId="4" applyFont="1" applyAlignment="1" applyProtection="1">
      <alignment horizontal="right" vertical="center"/>
      <protection locked="0"/>
    </xf>
    <xf numFmtId="2" fontId="136" fillId="0" borderId="0" xfId="4" applyNumberFormat="1" applyFont="1" applyAlignment="1">
      <alignment horizontal="left" vertical="center"/>
    </xf>
    <xf numFmtId="166" fontId="16" fillId="6" borderId="32" xfId="4" applyNumberFormat="1" applyFont="1" applyFill="1" applyBorder="1" applyAlignment="1" applyProtection="1">
      <alignment horizontal="right" vertical="center"/>
      <protection locked="0"/>
    </xf>
    <xf numFmtId="166" fontId="16" fillId="6" borderId="33" xfId="4" applyNumberFormat="1" applyFont="1" applyFill="1" applyBorder="1" applyAlignment="1" applyProtection="1">
      <alignment horizontal="right" vertical="center"/>
      <protection locked="0"/>
    </xf>
    <xf numFmtId="166" fontId="16" fillId="6" borderId="34" xfId="4" applyNumberFormat="1" applyFont="1" applyFill="1" applyBorder="1" applyAlignment="1" applyProtection="1">
      <alignment horizontal="right" vertical="center"/>
      <protection locked="0"/>
    </xf>
    <xf numFmtId="2" fontId="16" fillId="0" borderId="0" xfId="4" applyNumberFormat="1" applyFont="1" applyAlignment="1">
      <alignment horizontal="left" vertical="center" wrapText="1"/>
    </xf>
    <xf numFmtId="0" fontId="34" fillId="0" borderId="0" xfId="4" applyFont="1" applyAlignment="1" applyProtection="1">
      <alignment vertical="center"/>
      <protection locked="0"/>
    </xf>
    <xf numFmtId="0" fontId="12" fillId="0" borderId="0" xfId="4" applyFont="1" applyAlignment="1">
      <alignment vertical="center"/>
    </xf>
    <xf numFmtId="0" fontId="16" fillId="0" borderId="22" xfId="4" applyFont="1" applyBorder="1" applyAlignment="1">
      <alignment horizontal="left" vertical="center"/>
    </xf>
    <xf numFmtId="0" fontId="129" fillId="0" borderId="22" xfId="4" applyFont="1" applyBorder="1" applyAlignment="1">
      <alignment horizontal="left" vertical="center"/>
    </xf>
    <xf numFmtId="166" fontId="16" fillId="6" borderId="22" xfId="4" applyNumberFormat="1" applyFont="1" applyFill="1" applyBorder="1" applyAlignment="1" applyProtection="1">
      <alignment horizontal="right" vertical="center"/>
      <protection locked="0"/>
    </xf>
    <xf numFmtId="4" fontId="16" fillId="6" borderId="22" xfId="4" applyNumberFormat="1" applyFont="1" applyFill="1" applyBorder="1" applyAlignment="1" applyProtection="1">
      <alignment horizontal="right" vertical="center"/>
      <protection locked="0"/>
    </xf>
    <xf numFmtId="0" fontId="16" fillId="0" borderId="47" xfId="4" applyFont="1" applyBorder="1" applyAlignment="1">
      <alignment horizontal="left" vertical="center"/>
    </xf>
    <xf numFmtId="0" fontId="27" fillId="0" borderId="47" xfId="4" applyFont="1" applyBorder="1" applyAlignment="1">
      <alignment horizontal="left" vertical="center"/>
    </xf>
    <xf numFmtId="0" fontId="16" fillId="0" borderId="22" xfId="4" applyFont="1" applyBorder="1" applyAlignment="1">
      <alignment vertical="center"/>
    </xf>
    <xf numFmtId="0" fontId="115" fillId="0" borderId="22" xfId="4" applyFont="1" applyBorder="1" applyAlignment="1">
      <alignment horizontal="left" vertical="center"/>
    </xf>
    <xf numFmtId="0" fontId="16" fillId="0" borderId="47" xfId="4" applyFont="1" applyBorder="1" applyAlignment="1">
      <alignment vertical="center"/>
    </xf>
    <xf numFmtId="0" fontId="115" fillId="0" borderId="47" xfId="4" applyFont="1" applyBorder="1" applyAlignment="1">
      <alignment horizontal="left" vertical="center"/>
    </xf>
    <xf numFmtId="0" fontId="16" fillId="0" borderId="47" xfId="4" applyFont="1" applyBorder="1" applyAlignment="1" applyProtection="1">
      <alignment horizontal="left" vertical="center"/>
      <protection locked="0"/>
    </xf>
    <xf numFmtId="166" fontId="16" fillId="6" borderId="48" xfId="4" applyNumberFormat="1" applyFont="1" applyFill="1" applyBorder="1" applyAlignment="1" applyProtection="1">
      <alignment horizontal="right" vertical="center"/>
      <protection locked="0"/>
    </xf>
    <xf numFmtId="4" fontId="16" fillId="6" borderId="24" xfId="4" applyNumberFormat="1" applyFont="1" applyFill="1" applyBorder="1" applyAlignment="1" applyProtection="1">
      <alignment horizontal="right" vertical="center"/>
      <protection locked="0"/>
    </xf>
    <xf numFmtId="166" fontId="16" fillId="6" borderId="49" xfId="4" applyNumberFormat="1" applyFont="1" applyFill="1" applyBorder="1" applyAlignment="1" applyProtection="1">
      <alignment horizontal="right" vertical="center"/>
      <protection locked="0"/>
    </xf>
    <xf numFmtId="0" fontId="12" fillId="0" borderId="0" xfId="4" applyFont="1" applyAlignment="1" applyProtection="1">
      <alignment horizontal="left" vertical="center"/>
      <protection locked="0"/>
    </xf>
    <xf numFmtId="14" fontId="12" fillId="0" borderId="0" xfId="4" applyNumberFormat="1" applyFont="1" applyAlignment="1" applyProtection="1">
      <alignment horizontal="left" vertical="center"/>
      <protection locked="0"/>
    </xf>
    <xf numFmtId="0" fontId="14" fillId="12" borderId="0" xfId="4" applyFont="1" applyFill="1" applyAlignment="1">
      <alignment vertical="center"/>
    </xf>
    <xf numFmtId="0" fontId="13" fillId="12" borderId="0" xfId="4" applyFont="1" applyFill="1" applyAlignment="1" applyProtection="1">
      <alignment horizontal="left" vertical="center"/>
      <protection locked="0"/>
    </xf>
    <xf numFmtId="0" fontId="15" fillId="11" borderId="0" xfId="4" applyFont="1" applyFill="1" applyAlignment="1" applyProtection="1">
      <alignment horizontal="center" vertical="center"/>
      <protection locked="0"/>
    </xf>
    <xf numFmtId="0" fontId="37" fillId="11" borderId="0" xfId="4" applyFont="1" applyFill="1" applyAlignment="1">
      <alignment horizontal="left" vertical="center"/>
    </xf>
    <xf numFmtId="0" fontId="14" fillId="11" borderId="0" xfId="4" applyFont="1" applyFill="1" applyAlignment="1">
      <alignment vertical="center"/>
    </xf>
    <xf numFmtId="0" fontId="14" fillId="5" borderId="0" xfId="4" applyFont="1" applyFill="1" applyAlignment="1">
      <alignment vertical="center"/>
    </xf>
    <xf numFmtId="0" fontId="13" fillId="5" borderId="0" xfId="4" applyFont="1" applyFill="1" applyAlignment="1" applyProtection="1">
      <alignment horizontal="left" vertical="center"/>
      <protection locked="0"/>
    </xf>
    <xf numFmtId="0" fontId="14" fillId="5" borderId="0" xfId="4" applyFont="1" applyFill="1" applyAlignment="1" applyProtection="1">
      <alignment vertical="center"/>
      <protection locked="0"/>
    </xf>
    <xf numFmtId="0" fontId="12" fillId="5" borderId="0" xfId="4" applyFont="1" applyFill="1" applyAlignment="1" applyProtection="1">
      <alignment horizontal="center" vertical="center"/>
      <protection locked="0"/>
    </xf>
    <xf numFmtId="0" fontId="13" fillId="0" borderId="0" xfId="4" applyFont="1" applyAlignment="1" applyProtection="1">
      <alignment horizontal="left" vertical="center"/>
      <protection locked="0"/>
    </xf>
    <xf numFmtId="0" fontId="34" fillId="0" borderId="0" xfId="4" applyFont="1" applyAlignment="1">
      <alignment horizontal="center" vertical="center"/>
    </xf>
    <xf numFmtId="0" fontId="32" fillId="19" borderId="0" xfId="4" applyFont="1" applyFill="1" applyAlignment="1" applyProtection="1">
      <alignment horizontal="center" vertical="center"/>
      <protection locked="0"/>
    </xf>
    <xf numFmtId="0" fontId="32" fillId="21" borderId="0" xfId="4" applyFont="1" applyFill="1" applyAlignment="1" applyProtection="1">
      <alignment horizontal="center" vertical="center"/>
      <protection locked="0"/>
    </xf>
    <xf numFmtId="0" fontId="35" fillId="0" borderId="13" xfId="4" applyFont="1" applyBorder="1" applyAlignment="1">
      <alignment horizontal="left" vertical="center"/>
    </xf>
    <xf numFmtId="0" fontId="138" fillId="0" borderId="22" xfId="4" applyFont="1" applyBorder="1" applyAlignment="1">
      <alignment horizontal="right" vertical="center"/>
    </xf>
    <xf numFmtId="0" fontId="138" fillId="0" borderId="16" xfId="4" applyFont="1" applyBorder="1" applyAlignment="1">
      <alignment vertical="center"/>
    </xf>
    <xf numFmtId="4" fontId="16" fillId="6" borderId="25" xfId="4" quotePrefix="1" applyNumberFormat="1" applyFont="1" applyFill="1" applyBorder="1" applyAlignment="1" applyProtection="1">
      <alignment horizontal="right" vertical="center"/>
      <protection locked="0"/>
    </xf>
    <xf numFmtId="0" fontId="140" fillId="0" borderId="22" xfId="4" applyFont="1" applyBorder="1" applyAlignment="1">
      <alignment horizontal="left" vertical="center"/>
    </xf>
    <xf numFmtId="0" fontId="140" fillId="0" borderId="47" xfId="4" applyFont="1" applyBorder="1" applyAlignment="1">
      <alignment vertical="center"/>
    </xf>
    <xf numFmtId="0" fontId="136" fillId="0" borderId="0" xfId="4" applyFont="1" applyAlignment="1">
      <alignment vertical="center"/>
    </xf>
    <xf numFmtId="0" fontId="143" fillId="9" borderId="17" xfId="4" applyFont="1" applyFill="1" applyBorder="1" applyAlignment="1">
      <alignment horizontal="center" vertical="center"/>
    </xf>
    <xf numFmtId="0" fontId="144" fillId="0" borderId="0" xfId="4" applyFont="1" applyAlignment="1">
      <alignment horizontal="left" vertical="center"/>
    </xf>
    <xf numFmtId="0" fontId="145" fillId="0" borderId="0" xfId="4" applyFont="1" applyAlignment="1">
      <alignment horizontal="center" vertical="center"/>
    </xf>
    <xf numFmtId="0" fontId="68" fillId="0" borderId="0" xfId="4" applyFont="1" applyAlignment="1">
      <alignment vertical="top" wrapText="1"/>
    </xf>
    <xf numFmtId="0" fontId="5" fillId="0" borderId="50" xfId="4" applyBorder="1" applyAlignment="1">
      <alignment vertical="center"/>
    </xf>
    <xf numFmtId="0" fontId="68" fillId="0" borderId="47" xfId="4" applyFont="1" applyBorder="1" applyAlignment="1">
      <alignment horizontal="left" vertical="center"/>
    </xf>
    <xf numFmtId="0" fontId="5" fillId="0" borderId="47" xfId="4" applyBorder="1" applyAlignment="1">
      <alignment vertical="center"/>
    </xf>
    <xf numFmtId="0" fontId="86" fillId="0" borderId="0" xfId="4" applyFont="1" applyAlignment="1">
      <alignment vertical="center"/>
    </xf>
    <xf numFmtId="0" fontId="68" fillId="0" borderId="47" xfId="4" applyFont="1" applyBorder="1" applyAlignment="1">
      <alignment horizontal="right" vertical="center" indent="1"/>
    </xf>
    <xf numFmtId="0" fontId="4" fillId="0" borderId="47" xfId="4" applyFont="1" applyBorder="1" applyAlignment="1">
      <alignment horizontal="left" vertical="center"/>
    </xf>
    <xf numFmtId="0" fontId="68" fillId="0" borderId="47" xfId="4" applyFont="1" applyBorder="1" applyAlignment="1">
      <alignment vertical="center"/>
    </xf>
    <xf numFmtId="0" fontId="68" fillId="0" borderId="47" xfId="4" applyFont="1" applyBorder="1" applyAlignment="1">
      <alignment horizontal="right" vertical="center"/>
    </xf>
    <xf numFmtId="0" fontId="71" fillId="0" borderId="0" xfId="4" applyFont="1" applyAlignment="1">
      <alignment vertical="center"/>
    </xf>
    <xf numFmtId="0" fontId="66" fillId="0" borderId="0" xfId="4" applyFont="1" applyAlignment="1">
      <alignment horizontal="left" vertical="center"/>
    </xf>
    <xf numFmtId="0" fontId="68" fillId="0" borderId="50" xfId="4" applyFont="1" applyBorder="1" applyAlignment="1">
      <alignment horizontal="right" vertical="center"/>
    </xf>
    <xf numFmtId="0" fontId="68" fillId="0" borderId="50" xfId="4" applyFont="1" applyBorder="1" applyAlignment="1">
      <alignment vertical="center"/>
    </xf>
    <xf numFmtId="0" fontId="68" fillId="0" borderId="50" xfId="4" applyFont="1" applyBorder="1" applyAlignment="1">
      <alignment horizontal="left" vertical="center"/>
    </xf>
    <xf numFmtId="0" fontId="78" fillId="0" borderId="50" xfId="4" applyFont="1" applyBorder="1" applyAlignment="1">
      <alignment horizontal="right" vertical="center"/>
    </xf>
    <xf numFmtId="0" fontId="68" fillId="0" borderId="21" xfId="4" applyFont="1" applyBorder="1" applyAlignment="1">
      <alignment horizontal="left" vertical="center"/>
    </xf>
    <xf numFmtId="0" fontId="5" fillId="0" borderId="47" xfId="4" applyBorder="1" applyAlignment="1">
      <alignment horizontal="left" vertical="center"/>
    </xf>
    <xf numFmtId="0" fontId="5" fillId="0" borderId="50" xfId="4" applyBorder="1" applyAlignment="1">
      <alignment horizontal="center" vertical="center"/>
    </xf>
    <xf numFmtId="0" fontId="5" fillId="0" borderId="21" xfId="4" applyBorder="1" applyAlignment="1">
      <alignment vertical="center"/>
    </xf>
    <xf numFmtId="0" fontId="78" fillId="0" borderId="21" xfId="4" applyFont="1" applyBorder="1" applyAlignment="1">
      <alignment horizontal="right" vertical="center"/>
    </xf>
    <xf numFmtId="0" fontId="68" fillId="0" borderId="21" xfId="4" quotePrefix="1" applyFont="1" applyBorder="1" applyAlignment="1">
      <alignment vertical="center"/>
    </xf>
    <xf numFmtId="0" fontId="5" fillId="0" borderId="21" xfId="4" applyBorder="1" applyAlignment="1">
      <alignment horizontal="center" vertical="center"/>
    </xf>
    <xf numFmtId="0" fontId="68" fillId="0" borderId="21" xfId="4" applyFont="1" applyBorder="1" applyAlignment="1">
      <alignment vertical="center"/>
    </xf>
    <xf numFmtId="0" fontId="74" fillId="0" borderId="22" xfId="4" applyFont="1" applyBorder="1" applyAlignment="1">
      <alignment horizontal="left" vertical="center"/>
    </xf>
    <xf numFmtId="2" fontId="100" fillId="0" borderId="22" xfId="4" applyNumberFormat="1" applyFont="1" applyBorder="1" applyAlignment="1">
      <alignment horizontal="left" vertical="center"/>
    </xf>
    <xf numFmtId="2" fontId="101" fillId="0" borderId="22" xfId="4" applyNumberFormat="1" applyFont="1" applyBorder="1" applyAlignment="1">
      <alignment horizontal="right" vertical="center"/>
    </xf>
    <xf numFmtId="2" fontId="100" fillId="0" borderId="47" xfId="4" applyNumberFormat="1" applyFont="1" applyBorder="1" applyAlignment="1">
      <alignment horizontal="left" vertical="center"/>
    </xf>
    <xf numFmtId="2" fontId="101" fillId="0" borderId="47" xfId="4" applyNumberFormat="1" applyFont="1" applyBorder="1" applyAlignment="1">
      <alignment horizontal="right" vertical="center"/>
    </xf>
    <xf numFmtId="2" fontId="104" fillId="0" borderId="47" xfId="4" applyNumberFormat="1" applyFont="1" applyBorder="1" applyAlignment="1">
      <alignment horizontal="right" vertical="center"/>
    </xf>
    <xf numFmtId="2" fontId="138" fillId="0" borderId="47" xfId="4" applyNumberFormat="1" applyFont="1" applyBorder="1" applyAlignment="1">
      <alignment horizontal="left" vertical="center"/>
    </xf>
    <xf numFmtId="0" fontId="27" fillId="0" borderId="0" xfId="4" applyFont="1" applyAlignment="1">
      <alignment horizontal="left" vertical="center"/>
    </xf>
    <xf numFmtId="2" fontId="101" fillId="0" borderId="47" xfId="4" applyNumberFormat="1" applyFont="1" applyBorder="1" applyAlignment="1">
      <alignment horizontal="left" vertical="center"/>
    </xf>
    <xf numFmtId="2" fontId="138" fillId="0" borderId="22" xfId="4" applyNumberFormat="1" applyFont="1" applyBorder="1" applyAlignment="1">
      <alignment horizontal="left" vertical="center"/>
    </xf>
    <xf numFmtId="2" fontId="104" fillId="0" borderId="22" xfId="4" applyNumberFormat="1" applyFont="1" applyBorder="1" applyAlignment="1">
      <alignment horizontal="right" vertical="center"/>
    </xf>
    <xf numFmtId="2" fontId="101" fillId="0" borderId="22" xfId="4" applyNumberFormat="1" applyFont="1" applyBorder="1" applyAlignment="1">
      <alignment horizontal="left" vertical="center"/>
    </xf>
    <xf numFmtId="2" fontId="107" fillId="0" borderId="22" xfId="4" applyNumberFormat="1" applyFont="1" applyBorder="1" applyAlignment="1">
      <alignment horizontal="left" vertical="center"/>
    </xf>
    <xf numFmtId="2" fontId="101" fillId="0" borderId="22" xfId="4" applyNumberFormat="1" applyFont="1" applyBorder="1" applyAlignment="1">
      <alignment horizontal="center" vertical="center"/>
    </xf>
    <xf numFmtId="2" fontId="108" fillId="0" borderId="22" xfId="4" applyNumberFormat="1" applyFont="1" applyBorder="1" applyAlignment="1">
      <alignment horizontal="right" vertical="center"/>
    </xf>
    <xf numFmtId="166" fontId="109" fillId="4" borderId="51" xfId="4" applyNumberFormat="1" applyFont="1" applyFill="1" applyBorder="1" applyAlignment="1">
      <alignment horizontal="right" vertical="center"/>
    </xf>
    <xf numFmtId="166" fontId="109" fillId="4" borderId="52" xfId="4" applyNumberFormat="1" applyFont="1" applyFill="1" applyBorder="1" applyAlignment="1">
      <alignment horizontal="right" vertical="center"/>
    </xf>
    <xf numFmtId="0" fontId="101" fillId="0" borderId="47" xfId="4" applyFont="1" applyBorder="1" applyAlignment="1">
      <alignment horizontal="right" vertical="center"/>
    </xf>
    <xf numFmtId="0" fontId="141" fillId="0" borderId="47" xfId="4" applyFont="1" applyBorder="1" applyAlignment="1">
      <alignment horizontal="left" vertical="center"/>
    </xf>
    <xf numFmtId="2" fontId="142" fillId="0" borderId="47" xfId="4" applyNumberFormat="1" applyFont="1" applyBorder="1" applyAlignment="1">
      <alignment horizontal="left" vertical="center"/>
    </xf>
    <xf numFmtId="2" fontId="15" fillId="16" borderId="22" xfId="4" applyNumberFormat="1" applyFont="1" applyFill="1" applyBorder="1" applyAlignment="1">
      <alignment horizontal="center" vertical="top"/>
    </xf>
    <xf numFmtId="0" fontId="143" fillId="28" borderId="17" xfId="4" applyFont="1" applyFill="1" applyBorder="1" applyAlignment="1">
      <alignment horizontal="center" vertical="center"/>
    </xf>
    <xf numFmtId="0" fontId="146" fillId="0" borderId="0" xfId="4" applyFont="1" applyAlignment="1">
      <alignment vertical="center"/>
    </xf>
    <xf numFmtId="3" fontId="16" fillId="6" borderId="24" xfId="4" quotePrefix="1" applyNumberFormat="1" applyFont="1" applyFill="1" applyBorder="1" applyAlignment="1" applyProtection="1">
      <alignment horizontal="right" vertical="center"/>
      <protection locked="0"/>
    </xf>
    <xf numFmtId="3" fontId="16" fillId="6" borderId="25" xfId="4" quotePrefix="1" applyNumberFormat="1" applyFont="1" applyFill="1" applyBorder="1" applyAlignment="1" applyProtection="1">
      <alignment horizontal="right" vertical="center"/>
      <protection locked="0"/>
    </xf>
    <xf numFmtId="0" fontId="29" fillId="0" borderId="0" xfId="4" applyFont="1" applyAlignment="1">
      <alignment horizontal="left" vertical="center"/>
    </xf>
    <xf numFmtId="0" fontId="29" fillId="0" borderId="0" xfId="4" applyFont="1" applyAlignment="1">
      <alignment vertical="center"/>
    </xf>
    <xf numFmtId="0" fontId="147" fillId="0" borderId="0" xfId="4" applyFont="1" applyAlignment="1">
      <alignment vertical="center"/>
    </xf>
    <xf numFmtId="0" fontId="143" fillId="29" borderId="17" xfId="4" applyFont="1" applyFill="1" applyBorder="1" applyAlignment="1">
      <alignment horizontal="center" vertical="center"/>
    </xf>
    <xf numFmtId="0" fontId="68" fillId="0" borderId="14" xfId="4" applyFont="1" applyBorder="1" applyAlignment="1">
      <alignment vertical="center"/>
    </xf>
    <xf numFmtId="0" fontId="68" fillId="0" borderId="14" xfId="4" applyFont="1" applyBorder="1" applyAlignment="1">
      <alignment horizontal="right" vertical="center" indent="1"/>
    </xf>
    <xf numFmtId="0" fontId="74" fillId="0" borderId="14" xfId="4" applyFont="1" applyBorder="1" applyAlignment="1">
      <alignment horizontal="left" vertical="center"/>
    </xf>
    <xf numFmtId="0" fontId="4" fillId="0" borderId="14" xfId="4" applyFont="1" applyBorder="1" applyAlignment="1">
      <alignment horizontal="left" vertical="center"/>
    </xf>
    <xf numFmtId="0" fontId="68" fillId="0" borderId="54" xfId="4" applyFont="1" applyBorder="1" applyAlignment="1">
      <alignment horizontal="left" vertical="center"/>
    </xf>
    <xf numFmtId="0" fontId="5" fillId="0" borderId="54" xfId="4" applyBorder="1" applyAlignment="1">
      <alignment vertical="center"/>
    </xf>
    <xf numFmtId="0" fontId="68" fillId="0" borderId="54" xfId="4" applyFont="1" applyBorder="1" applyAlignment="1">
      <alignment horizontal="right" vertical="center" indent="1"/>
    </xf>
    <xf numFmtId="0" fontId="74" fillId="0" borderId="54" xfId="4" applyFont="1" applyBorder="1" applyAlignment="1">
      <alignment horizontal="left" vertical="center"/>
    </xf>
    <xf numFmtId="0" fontId="83" fillId="0" borderId="54" xfId="4" applyFont="1" applyBorder="1" applyAlignment="1">
      <alignment horizontal="left" vertical="center"/>
    </xf>
    <xf numFmtId="0" fontId="68" fillId="0" borderId="54" xfId="4" applyFont="1" applyBorder="1" applyAlignment="1">
      <alignment vertical="center"/>
    </xf>
    <xf numFmtId="0" fontId="64" fillId="0" borderId="54" xfId="4" applyFont="1" applyBorder="1" applyAlignment="1">
      <alignment horizontal="center" vertical="center"/>
    </xf>
    <xf numFmtId="0" fontId="78" fillId="0" borderId="54" xfId="4" applyFont="1" applyBorder="1" applyAlignment="1">
      <alignment horizontal="right" vertical="center"/>
    </xf>
    <xf numFmtId="0" fontId="89" fillId="0" borderId="54" xfId="4" applyFont="1" applyBorder="1" applyAlignment="1">
      <alignment horizontal="center" vertical="center"/>
    </xf>
    <xf numFmtId="0" fontId="78" fillId="0" borderId="14" xfId="4" applyFont="1" applyBorder="1" applyAlignment="1">
      <alignment horizontal="left" vertical="top"/>
    </xf>
    <xf numFmtId="0" fontId="68" fillId="0" borderId="14" xfId="4" applyFont="1" applyBorder="1" applyAlignment="1">
      <alignment horizontal="left" vertical="center"/>
    </xf>
    <xf numFmtId="0" fontId="68" fillId="0" borderId="14" xfId="4" applyFont="1" applyBorder="1" applyAlignment="1">
      <alignment horizontal="right" vertical="center"/>
    </xf>
    <xf numFmtId="0" fontId="64" fillId="0" borderId="14" xfId="4" applyFont="1" applyBorder="1" applyAlignment="1">
      <alignment horizontal="center" vertical="center"/>
    </xf>
    <xf numFmtId="49" fontId="68" fillId="0" borderId="14" xfId="4" applyNumberFormat="1" applyFont="1" applyBorder="1" applyAlignment="1">
      <alignment vertical="center"/>
    </xf>
    <xf numFmtId="0" fontId="68" fillId="0" borderId="54" xfId="4" applyFont="1" applyBorder="1" applyAlignment="1">
      <alignment horizontal="right" vertical="center"/>
    </xf>
    <xf numFmtId="49" fontId="68" fillId="0" borderId="54" xfId="4" applyNumberFormat="1" applyFont="1" applyBorder="1" applyAlignment="1">
      <alignment vertical="center"/>
    </xf>
    <xf numFmtId="0" fontId="78" fillId="0" borderId="54" xfId="4" applyFont="1" applyBorder="1" applyAlignment="1">
      <alignment vertical="center"/>
    </xf>
    <xf numFmtId="0" fontId="68" fillId="0" borderId="63" xfId="4" applyFont="1" applyBorder="1" applyAlignment="1">
      <alignment horizontal="left" vertical="center"/>
    </xf>
    <xf numFmtId="0" fontId="78" fillId="0" borderId="63" xfId="4" applyFont="1" applyBorder="1" applyAlignment="1">
      <alignment vertical="center"/>
    </xf>
    <xf numFmtId="0" fontId="68" fillId="0" borderId="63" xfId="4" applyFont="1" applyBorder="1" applyAlignment="1">
      <alignment vertical="center"/>
    </xf>
    <xf numFmtId="0" fontId="78" fillId="0" borderId="63" xfId="4" applyFont="1" applyBorder="1" applyAlignment="1">
      <alignment horizontal="center" vertical="center"/>
    </xf>
    <xf numFmtId="0" fontId="78" fillId="0" borderId="63" xfId="4" applyFont="1" applyBorder="1" applyAlignment="1">
      <alignment horizontal="left" vertical="center"/>
    </xf>
    <xf numFmtId="0" fontId="68" fillId="0" borderId="23" xfId="4" applyFont="1" applyBorder="1" applyAlignment="1">
      <alignment horizontal="left" vertical="center"/>
    </xf>
    <xf numFmtId="49" fontId="68" fillId="0" borderId="63" xfId="4" applyNumberFormat="1" applyFont="1" applyBorder="1" applyAlignment="1">
      <alignment vertical="center"/>
    </xf>
    <xf numFmtId="0" fontId="68" fillId="0" borderId="63" xfId="4" applyFont="1" applyBorder="1" applyAlignment="1">
      <alignment horizontal="right" vertical="center"/>
    </xf>
    <xf numFmtId="0" fontId="68" fillId="0" borderId="64" xfId="4" applyFont="1" applyBorder="1" applyAlignment="1">
      <alignment horizontal="left" vertical="center"/>
    </xf>
    <xf numFmtId="0" fontId="5" fillId="0" borderId="64" xfId="4" applyBorder="1" applyAlignment="1">
      <alignment vertical="center"/>
    </xf>
    <xf numFmtId="0" fontId="5" fillId="0" borderId="64" xfId="4" applyBorder="1" applyAlignment="1">
      <alignment horizontal="left" vertical="center"/>
    </xf>
    <xf numFmtId="0" fontId="64" fillId="0" borderId="64" xfId="4" applyFont="1" applyBorder="1" applyAlignment="1">
      <alignment horizontal="center" vertical="center"/>
    </xf>
    <xf numFmtId="0" fontId="5" fillId="0" borderId="54" xfId="4" applyBorder="1" applyAlignment="1">
      <alignment horizontal="left" vertical="center"/>
    </xf>
    <xf numFmtId="0" fontId="78" fillId="0" borderId="54" xfId="4" applyFont="1" applyBorder="1" applyAlignment="1">
      <alignment horizontal="left" vertical="center"/>
    </xf>
    <xf numFmtId="0" fontId="66" fillId="0" borderId="54" xfId="4" applyFont="1" applyBorder="1" applyAlignment="1">
      <alignment horizontal="right" vertical="center"/>
    </xf>
    <xf numFmtId="0" fontId="83" fillId="0" borderId="54" xfId="4" applyFont="1" applyBorder="1" applyAlignment="1">
      <alignment horizontal="right" vertical="center"/>
    </xf>
    <xf numFmtId="0" fontId="92" fillId="0" borderId="54" xfId="4" applyFont="1" applyBorder="1" applyAlignment="1">
      <alignment horizontal="left" vertical="center"/>
    </xf>
    <xf numFmtId="4" fontId="5" fillId="0" borderId="54" xfId="4" applyNumberFormat="1" applyBorder="1" applyAlignment="1" applyProtection="1">
      <alignment horizontal="left" vertical="center"/>
      <protection locked="0"/>
    </xf>
    <xf numFmtId="0" fontId="5" fillId="0" borderId="63" xfId="4" applyBorder="1" applyAlignment="1">
      <alignment vertical="center"/>
    </xf>
    <xf numFmtId="0" fontId="82" fillId="0" borderId="14" xfId="4" applyFont="1" applyBorder="1" applyAlignment="1">
      <alignment horizontal="center" vertical="center"/>
    </xf>
    <xf numFmtId="0" fontId="78" fillId="0" borderId="63" xfId="4" applyFont="1" applyBorder="1" applyAlignment="1">
      <alignment horizontal="right" vertical="center"/>
    </xf>
    <xf numFmtId="0" fontId="82" fillId="0" borderId="54" xfId="4" applyFont="1" applyBorder="1" applyAlignment="1">
      <alignment horizontal="center" vertical="center"/>
    </xf>
    <xf numFmtId="0" fontId="68" fillId="0" borderId="62" xfId="4" applyFont="1" applyBorder="1" applyAlignment="1">
      <alignment horizontal="left" vertical="center"/>
    </xf>
    <xf numFmtId="0" fontId="5" fillId="0" borderId="62" xfId="4" applyBorder="1" applyAlignment="1">
      <alignment vertical="center"/>
    </xf>
    <xf numFmtId="0" fontId="68" fillId="0" borderId="62" xfId="4" applyFont="1" applyBorder="1" applyAlignment="1">
      <alignment horizontal="right" vertical="center"/>
    </xf>
    <xf numFmtId="0" fontId="68" fillId="0" borderId="62" xfId="4" applyFont="1" applyBorder="1" applyAlignment="1">
      <alignment vertical="center"/>
    </xf>
    <xf numFmtId="0" fontId="5" fillId="0" borderId="63" xfId="4" applyBorder="1" applyAlignment="1">
      <alignment horizontal="left" vertical="center"/>
    </xf>
    <xf numFmtId="0" fontId="78" fillId="0" borderId="54" xfId="4" applyFont="1" applyBorder="1" applyAlignment="1" applyProtection="1">
      <alignment horizontal="left" vertical="center"/>
      <protection locked="0"/>
    </xf>
    <xf numFmtId="0" fontId="83" fillId="0" borderId="54" xfId="4" applyFont="1" applyBorder="1" applyAlignment="1" applyProtection="1">
      <alignment horizontal="left" vertical="center"/>
      <protection locked="0"/>
    </xf>
    <xf numFmtId="49" fontId="90" fillId="0" borderId="23" xfId="4" applyNumberFormat="1" applyFont="1" applyBorder="1" applyAlignment="1">
      <alignment vertical="center"/>
    </xf>
    <xf numFmtId="49" fontId="68" fillId="0" borderId="23" xfId="4" applyNumberFormat="1" applyFont="1" applyBorder="1" applyAlignment="1">
      <alignment vertical="center"/>
    </xf>
    <xf numFmtId="0" fontId="5" fillId="0" borderId="23" xfId="4" applyBorder="1" applyAlignment="1">
      <alignment vertical="center"/>
    </xf>
    <xf numFmtId="0" fontId="5" fillId="0" borderId="23" xfId="4" applyBorder="1" applyAlignment="1">
      <alignment horizontal="left" vertical="center"/>
    </xf>
    <xf numFmtId="0" fontId="61" fillId="0" borderId="54" xfId="4" applyFont="1" applyBorder="1" applyAlignment="1" applyProtection="1">
      <alignment horizontal="center" vertical="center"/>
      <protection locked="0"/>
    </xf>
    <xf numFmtId="0" fontId="68" fillId="4" borderId="54" xfId="4" applyFont="1" applyFill="1" applyBorder="1" applyAlignment="1" applyProtection="1">
      <alignment vertical="center"/>
      <protection locked="0"/>
    </xf>
    <xf numFmtId="0" fontId="5" fillId="4" borderId="54" xfId="4" applyFill="1" applyBorder="1" applyAlignment="1" applyProtection="1">
      <alignment vertical="center"/>
      <protection locked="0"/>
    </xf>
    <xf numFmtId="0" fontId="61" fillId="0" borderId="14" xfId="4" applyFont="1" applyBorder="1" applyAlignment="1" applyProtection="1">
      <alignment horizontal="center" vertical="center"/>
      <protection locked="0"/>
    </xf>
    <xf numFmtId="0" fontId="83" fillId="0" borderId="14" xfId="4" applyFont="1" applyBorder="1" applyAlignment="1">
      <alignment horizontal="left" vertical="center"/>
    </xf>
    <xf numFmtId="0" fontId="83" fillId="0" borderId="14" xfId="4" applyFont="1" applyBorder="1" applyAlignment="1">
      <alignment horizontal="right" vertical="center"/>
    </xf>
    <xf numFmtId="0" fontId="18" fillId="0" borderId="54" xfId="4" applyFont="1" applyBorder="1" applyAlignment="1">
      <alignment horizontal="left" vertical="top"/>
    </xf>
    <xf numFmtId="0" fontId="88" fillId="0" borderId="54" xfId="4" applyFont="1" applyBorder="1" applyAlignment="1">
      <alignment horizontal="left" vertical="center"/>
    </xf>
    <xf numFmtId="0" fontId="61" fillId="0" borderId="54" xfId="4" applyFont="1" applyBorder="1" applyAlignment="1">
      <alignment horizontal="right" vertical="center"/>
    </xf>
    <xf numFmtId="0" fontId="87" fillId="0" borderId="14" xfId="4" applyFont="1" applyBorder="1" applyAlignment="1">
      <alignment vertical="center"/>
    </xf>
    <xf numFmtId="0" fontId="78" fillId="0" borderId="14" xfId="4" applyFont="1" applyBorder="1" applyAlignment="1">
      <alignment horizontal="right" vertical="center"/>
    </xf>
    <xf numFmtId="0" fontId="87" fillId="0" borderId="54" xfId="4" applyFont="1" applyBorder="1" applyAlignment="1">
      <alignment vertical="center"/>
    </xf>
    <xf numFmtId="0" fontId="5" fillId="0" borderId="14" xfId="4" applyBorder="1" applyAlignment="1">
      <alignment horizontal="center" vertical="center"/>
    </xf>
    <xf numFmtId="0" fontId="81" fillId="0" borderId="14" xfId="4" applyFont="1" applyBorder="1" applyAlignment="1">
      <alignment horizontal="left" vertical="center"/>
    </xf>
    <xf numFmtId="0" fontId="4" fillId="0" borderId="14" xfId="4" applyFont="1" applyBorder="1" applyAlignment="1">
      <alignment horizontal="right" vertical="center"/>
    </xf>
    <xf numFmtId="0" fontId="4" fillId="0" borderId="54" xfId="4" applyFont="1" applyBorder="1" applyAlignment="1">
      <alignment vertical="center"/>
    </xf>
    <xf numFmtId="0" fontId="81" fillId="0" borderId="54" xfId="4" applyFont="1" applyBorder="1" applyAlignment="1">
      <alignment horizontal="right" vertical="center" indent="1"/>
    </xf>
    <xf numFmtId="0" fontId="4" fillId="0" borderId="54" xfId="4" applyFont="1" applyBorder="1" applyAlignment="1">
      <alignment horizontal="right" vertical="center"/>
    </xf>
    <xf numFmtId="0" fontId="4" fillId="0" borderId="54" xfId="4" applyFont="1" applyBorder="1" applyAlignment="1">
      <alignment horizontal="left" vertical="center"/>
    </xf>
    <xf numFmtId="0" fontId="7" fillId="0" borderId="0" xfId="4" applyFont="1" applyAlignment="1">
      <alignment horizontal="left" vertical="center"/>
    </xf>
    <xf numFmtId="0" fontId="5" fillId="0" borderId="62" xfId="4" applyBorder="1" applyAlignment="1" applyProtection="1">
      <alignment vertical="center"/>
      <protection locked="0"/>
    </xf>
    <xf numFmtId="0" fontId="74" fillId="0" borderId="62" xfId="4" applyFont="1" applyBorder="1" applyAlignment="1">
      <alignment horizontal="right" vertical="center"/>
    </xf>
    <xf numFmtId="0" fontId="61" fillId="0" borderId="71" xfId="4" applyFont="1" applyBorder="1" applyAlignment="1" applyProtection="1">
      <alignment horizontal="center" vertical="center"/>
      <protection locked="0"/>
    </xf>
    <xf numFmtId="0" fontId="83" fillId="0" borderId="62" xfId="4" applyFont="1" applyBorder="1" applyAlignment="1">
      <alignment horizontal="left" vertical="center"/>
    </xf>
    <xf numFmtId="0" fontId="74" fillId="0" borderId="54" xfId="4" applyFont="1" applyBorder="1" applyAlignment="1">
      <alignment horizontal="right" vertical="center"/>
    </xf>
    <xf numFmtId="0" fontId="64" fillId="0" borderId="72" xfId="4" applyFont="1" applyBorder="1" applyAlignment="1">
      <alignment horizontal="center" vertical="center"/>
    </xf>
    <xf numFmtId="0" fontId="5" fillId="0" borderId="63" xfId="4" applyBorder="1" applyAlignment="1" applyProtection="1">
      <alignment vertical="center"/>
      <protection locked="0"/>
    </xf>
    <xf numFmtId="0" fontId="74" fillId="0" borderId="63" xfId="4" applyFont="1" applyBorder="1" applyAlignment="1" applyProtection="1">
      <alignment horizontal="right" vertical="center"/>
      <protection locked="0"/>
    </xf>
    <xf numFmtId="0" fontId="74" fillId="0" borderId="63" xfId="4" applyFont="1" applyBorder="1" applyAlignment="1">
      <alignment vertical="center"/>
    </xf>
    <xf numFmtId="0" fontId="74" fillId="0" borderId="63" xfId="4" applyFont="1" applyBorder="1" applyAlignment="1" applyProtection="1">
      <alignment horizontal="center" vertical="center"/>
      <protection locked="0"/>
    </xf>
    <xf numFmtId="0" fontId="74" fillId="0" borderId="63" xfId="4" applyFont="1" applyBorder="1" applyAlignment="1" applyProtection="1">
      <alignment vertical="center"/>
      <protection locked="0"/>
    </xf>
    <xf numFmtId="0" fontId="5" fillId="0" borderId="63" xfId="4" applyBorder="1" applyAlignment="1" applyProtection="1">
      <alignment horizontal="center" vertical="center"/>
      <protection locked="0"/>
    </xf>
    <xf numFmtId="0" fontId="5" fillId="0" borderId="54" xfId="4" applyBorder="1" applyAlignment="1" applyProtection="1">
      <alignment vertical="center"/>
      <protection locked="0"/>
    </xf>
    <xf numFmtId="0" fontId="68" fillId="0" borderId="54" xfId="4" applyFont="1" applyBorder="1" applyAlignment="1" applyProtection="1">
      <alignment horizontal="right" vertical="center"/>
      <protection locked="0"/>
    </xf>
    <xf numFmtId="0" fontId="79" fillId="0" borderId="54" xfId="4" applyFont="1" applyBorder="1" applyAlignment="1">
      <alignment horizontal="right" vertical="center"/>
    </xf>
    <xf numFmtId="0" fontId="3" fillId="0" borderId="54" xfId="4" applyFont="1" applyBorder="1" applyAlignment="1">
      <alignment horizontal="left" vertical="center"/>
    </xf>
    <xf numFmtId="0" fontId="83" fillId="0" borderId="54" xfId="4" quotePrefix="1" applyFont="1" applyBorder="1" applyAlignment="1">
      <alignment horizontal="left" vertical="center"/>
    </xf>
    <xf numFmtId="9" fontId="74" fillId="16" borderId="54" xfId="4" applyNumberFormat="1" applyFont="1" applyFill="1" applyBorder="1" applyAlignment="1">
      <alignment horizontal="left" vertical="center"/>
    </xf>
    <xf numFmtId="0" fontId="5" fillId="0" borderId="54" xfId="4" applyBorder="1" applyAlignment="1" applyProtection="1">
      <alignment horizontal="center" vertical="center"/>
      <protection locked="0"/>
    </xf>
    <xf numFmtId="0" fontId="150" fillId="0" borderId="0" xfId="4" applyFont="1" applyAlignment="1">
      <alignment horizontal="center" vertical="center"/>
    </xf>
    <xf numFmtId="0" fontId="17" fillId="0" borderId="23" xfId="4" applyFont="1" applyBorder="1" applyAlignment="1">
      <alignment horizontal="left" vertical="center"/>
    </xf>
    <xf numFmtId="0" fontId="17" fillId="0" borderId="23" xfId="4" applyFont="1" applyBorder="1" applyAlignment="1">
      <alignment vertical="center"/>
    </xf>
    <xf numFmtId="0" fontId="150" fillId="0" borderId="23" xfId="4" applyFont="1" applyBorder="1" applyAlignment="1">
      <alignment horizontal="center" vertical="center"/>
    </xf>
    <xf numFmtId="0" fontId="44" fillId="0" borderId="23" xfId="4" applyFont="1" applyBorder="1" applyAlignment="1">
      <alignment horizontal="left" vertical="center"/>
    </xf>
    <xf numFmtId="0" fontId="44" fillId="0" borderId="14" xfId="4" applyFont="1" applyBorder="1" applyAlignment="1">
      <alignment horizontal="left" vertical="center"/>
    </xf>
    <xf numFmtId="0" fontId="70" fillId="0" borderId="14" xfId="4" applyFont="1" applyBorder="1" applyAlignment="1">
      <alignment horizontal="right" vertical="top"/>
    </xf>
    <xf numFmtId="0" fontId="12" fillId="30" borderId="20" xfId="2" applyFont="1" applyFill="1" applyBorder="1" applyAlignment="1">
      <alignment vertical="center" wrapText="1"/>
    </xf>
    <xf numFmtId="0" fontId="67" fillId="0" borderId="0" xfId="4" applyFont="1" applyAlignment="1">
      <alignment vertical="top"/>
    </xf>
    <xf numFmtId="0" fontId="70" fillId="0" borderId="0" xfId="4" applyFont="1" applyAlignment="1">
      <alignment vertical="center"/>
    </xf>
    <xf numFmtId="0" fontId="5" fillId="0" borderId="14" xfId="4" applyBorder="1" applyAlignment="1" applyProtection="1">
      <alignment horizontal="left" vertical="center"/>
      <protection locked="0"/>
    </xf>
    <xf numFmtId="0" fontId="71" fillId="0" borderId="0" xfId="4" applyFont="1" applyAlignment="1">
      <alignment horizontal="center" vertical="center"/>
    </xf>
    <xf numFmtId="0" fontId="77" fillId="0" borderId="54" xfId="4" applyFont="1" applyBorder="1" applyAlignment="1">
      <alignment horizontal="left" vertical="center"/>
    </xf>
    <xf numFmtId="0" fontId="88" fillId="0" borderId="14" xfId="4" applyFont="1" applyBorder="1" applyAlignment="1">
      <alignment vertical="center" wrapText="1"/>
    </xf>
    <xf numFmtId="0" fontId="70" fillId="0" borderId="0" xfId="4" applyFont="1" applyAlignment="1">
      <alignment horizontal="right" vertical="center"/>
    </xf>
    <xf numFmtId="0" fontId="66" fillId="0" borderId="63" xfId="4" applyFont="1" applyBorder="1" applyAlignment="1">
      <alignment vertical="center"/>
    </xf>
    <xf numFmtId="0" fontId="66" fillId="0" borderId="50" xfId="4" applyFont="1" applyBorder="1" applyAlignment="1">
      <alignment horizontal="center" vertical="center"/>
    </xf>
    <xf numFmtId="2" fontId="66" fillId="0" borderId="15" xfId="4" applyNumberFormat="1" applyFont="1" applyBorder="1" applyAlignment="1">
      <alignment horizontal="left" vertical="center"/>
    </xf>
    <xf numFmtId="0" fontId="66" fillId="0" borderId="78" xfId="4" applyFont="1" applyBorder="1" applyAlignment="1">
      <alignment horizontal="center" vertical="center"/>
    </xf>
    <xf numFmtId="0" fontId="27" fillId="0" borderId="20" xfId="0" applyFont="1" applyBorder="1" applyAlignment="1">
      <alignment vertical="center" wrapText="1"/>
    </xf>
    <xf numFmtId="0" fontId="12" fillId="31" borderId="20" xfId="2" applyFont="1" applyFill="1" applyBorder="1" applyAlignment="1">
      <alignment horizontal="center" vertical="center"/>
    </xf>
    <xf numFmtId="0" fontId="89" fillId="0" borderId="47" xfId="4" applyFont="1" applyBorder="1" applyAlignment="1">
      <alignment horizontal="left" vertical="center"/>
    </xf>
    <xf numFmtId="0" fontId="154" fillId="0" borderId="15" xfId="4" applyFont="1" applyBorder="1" applyAlignment="1">
      <alignment horizontal="left" vertical="center"/>
    </xf>
    <xf numFmtId="0" fontId="5" fillId="0" borderId="15" xfId="4" applyBorder="1" applyAlignment="1">
      <alignment vertical="center" wrapText="1"/>
    </xf>
    <xf numFmtId="0" fontId="68" fillId="0" borderId="0" xfId="4" applyFont="1" applyAlignment="1">
      <alignment vertical="center" wrapText="1"/>
    </xf>
    <xf numFmtId="0" fontId="68" fillId="0" borderId="15" xfId="4" applyFont="1" applyBorder="1" applyAlignment="1">
      <alignment horizontal="left" vertical="center" wrapText="1"/>
    </xf>
    <xf numFmtId="0" fontId="68" fillId="0" borderId="21" xfId="4" applyFont="1" applyBorder="1" applyAlignment="1">
      <alignment horizontal="left" vertical="center" wrapText="1"/>
    </xf>
    <xf numFmtId="0" fontId="5" fillId="0" borderId="21" xfId="4" applyBorder="1" applyAlignment="1">
      <alignment horizontal="left" vertical="center"/>
    </xf>
    <xf numFmtId="0" fontId="5" fillId="0" borderId="47" xfId="4" applyBorder="1" applyAlignment="1">
      <alignment horizontal="right" vertical="center"/>
    </xf>
    <xf numFmtId="0" fontId="13" fillId="5" borderId="0" xfId="4" applyFont="1" applyFill="1" applyAlignment="1" applyProtection="1">
      <alignment horizontal="center" vertical="center"/>
      <protection locked="0"/>
    </xf>
    <xf numFmtId="0" fontId="32" fillId="5" borderId="0" xfId="4" applyFont="1" applyFill="1" applyAlignment="1" applyProtection="1">
      <alignment horizontal="center" vertical="center"/>
      <protection locked="0"/>
    </xf>
    <xf numFmtId="0" fontId="14" fillId="0" borderId="0" xfId="4" applyFont="1" applyAlignment="1">
      <alignment horizontal="right" vertical="center"/>
    </xf>
    <xf numFmtId="0" fontId="15" fillId="11" borderId="20" xfId="2" applyFont="1" applyFill="1" applyBorder="1" applyAlignment="1">
      <alignment vertical="center" wrapText="1"/>
    </xf>
    <xf numFmtId="0" fontId="32" fillId="24" borderId="0" xfId="2" applyFont="1" applyFill="1" applyAlignment="1">
      <alignment horizontal="center" vertical="center"/>
    </xf>
    <xf numFmtId="0" fontId="49" fillId="32" borderId="0" xfId="2" applyFont="1" applyFill="1" applyAlignment="1" applyProtection="1">
      <alignment horizontal="center" vertical="center"/>
      <protection locked="0"/>
    </xf>
    <xf numFmtId="0" fontId="32" fillId="33" borderId="0" xfId="2" applyFont="1" applyFill="1" applyAlignment="1">
      <alignment horizontal="left" vertical="center"/>
    </xf>
    <xf numFmtId="0" fontId="32" fillId="33" borderId="0" xfId="2" applyFont="1" applyFill="1" applyAlignment="1">
      <alignment vertical="center"/>
    </xf>
    <xf numFmtId="0" fontId="16" fillId="0" borderId="0" xfId="2" applyFont="1" applyAlignment="1">
      <alignment horizontal="center" vertical="center"/>
    </xf>
    <xf numFmtId="0" fontId="16" fillId="0" borderId="0" xfId="2" applyFont="1" applyAlignment="1">
      <alignment horizontal="left" vertical="center"/>
    </xf>
    <xf numFmtId="0" fontId="16" fillId="0" borderId="79" xfId="2" applyFont="1" applyBorder="1" applyAlignment="1">
      <alignment horizontal="center" vertical="center"/>
    </xf>
    <xf numFmtId="0" fontId="16" fillId="0" borderId="80" xfId="2" quotePrefix="1" applyFont="1" applyBorder="1" applyAlignment="1">
      <alignment horizontal="left" vertical="center"/>
    </xf>
    <xf numFmtId="0" fontId="16" fillId="24" borderId="81" xfId="2" applyFont="1" applyFill="1" applyBorder="1" applyAlignment="1">
      <alignment vertical="center"/>
    </xf>
    <xf numFmtId="0" fontId="16" fillId="0" borderId="5" xfId="2" applyFont="1" applyBorder="1" applyAlignment="1">
      <alignment horizontal="center" vertical="center"/>
    </xf>
    <xf numFmtId="49" fontId="16" fillId="27" borderId="0" xfId="2" applyNumberFormat="1" applyFont="1" applyFill="1" applyAlignment="1" applyProtection="1">
      <alignment horizontal="left" vertical="center"/>
      <protection locked="0"/>
    </xf>
    <xf numFmtId="0" fontId="16" fillId="24" borderId="82" xfId="0" applyFont="1" applyFill="1" applyBorder="1" applyAlignment="1" applyProtection="1">
      <alignment vertical="center"/>
      <protection hidden="1"/>
    </xf>
    <xf numFmtId="0" fontId="49" fillId="32" borderId="5" xfId="2" applyFont="1" applyFill="1" applyBorder="1" applyAlignment="1" applyProtection="1">
      <alignment horizontal="center" vertical="center"/>
      <protection locked="0"/>
    </xf>
    <xf numFmtId="0" fontId="95" fillId="33" borderId="0" xfId="2" applyFont="1" applyFill="1" applyAlignment="1">
      <alignment horizontal="left" vertical="center"/>
    </xf>
    <xf numFmtId="0" fontId="16" fillId="0" borderId="83" xfId="2" applyFont="1" applyBorder="1" applyAlignment="1">
      <alignment horizontal="center" vertical="center"/>
    </xf>
    <xf numFmtId="0" fontId="16" fillId="0" borderId="3" xfId="2" applyFont="1" applyBorder="1" applyAlignment="1">
      <alignment horizontal="left" vertical="center"/>
    </xf>
    <xf numFmtId="0" fontId="138" fillId="24" borderId="84" xfId="0" applyFont="1" applyFill="1" applyBorder="1" applyAlignment="1" applyProtection="1">
      <alignment horizontal="left" vertical="center"/>
      <protection hidden="1"/>
    </xf>
    <xf numFmtId="0" fontId="15" fillId="11" borderId="20" xfId="2" applyFont="1" applyFill="1" applyBorder="1" applyAlignment="1">
      <alignment horizontal="center" vertical="center"/>
    </xf>
    <xf numFmtId="0" fontId="15" fillId="11" borderId="20" xfId="3" applyFont="1" applyFill="1" applyBorder="1" applyAlignment="1">
      <alignment horizontal="left" vertical="center" wrapText="1"/>
    </xf>
    <xf numFmtId="0" fontId="12" fillId="25" borderId="20" xfId="2" applyFont="1" applyFill="1" applyBorder="1" applyAlignment="1">
      <alignment vertical="center" wrapText="1"/>
    </xf>
    <xf numFmtId="0" fontId="156" fillId="0" borderId="20" xfId="2" applyFont="1" applyBorder="1" applyAlignment="1">
      <alignment horizontal="center" vertical="center"/>
    </xf>
    <xf numFmtId="0" fontId="156" fillId="0" borderId="20" xfId="0" applyFont="1" applyBorder="1" applyAlignment="1" applyProtection="1">
      <alignment vertical="center" wrapText="1"/>
      <protection hidden="1"/>
    </xf>
    <xf numFmtId="0" fontId="12" fillId="0" borderId="20" xfId="0" applyFont="1" applyBorder="1" applyAlignment="1">
      <alignment vertical="center" wrapText="1"/>
    </xf>
    <xf numFmtId="0" fontId="12" fillId="30" borderId="20" xfId="2" applyFont="1" applyFill="1" applyBorder="1" applyAlignment="1">
      <alignment horizontal="center" vertical="center"/>
    </xf>
    <xf numFmtId="0" fontId="24" fillId="30" borderId="20" xfId="2" applyFont="1" applyFill="1" applyBorder="1" applyAlignment="1">
      <alignment horizontal="center" vertical="center"/>
    </xf>
    <xf numFmtId="0" fontId="6" fillId="0" borderId="0" xfId="2" applyAlignment="1">
      <alignment horizontal="center" vertical="center"/>
    </xf>
    <xf numFmtId="0" fontId="6" fillId="0" borderId="0" xfId="2" applyAlignment="1">
      <alignment horizontal="center"/>
    </xf>
    <xf numFmtId="0" fontId="6" fillId="0" borderId="0" xfId="2" applyAlignment="1">
      <alignment horizontal="left"/>
    </xf>
    <xf numFmtId="0" fontId="6" fillId="0" borderId="0" xfId="2"/>
    <xf numFmtId="0" fontId="6" fillId="0" borderId="0" xfId="2" applyAlignment="1">
      <alignment vertical="center"/>
    </xf>
    <xf numFmtId="0" fontId="157" fillId="6" borderId="0" xfId="2" applyFont="1" applyFill="1" applyAlignment="1">
      <alignment horizontal="center" vertical="center"/>
    </xf>
    <xf numFmtId="0" fontId="6" fillId="6" borderId="0" xfId="2" applyFill="1" applyAlignment="1">
      <alignment horizontal="center"/>
    </xf>
    <xf numFmtId="0" fontId="158" fillId="6" borderId="0" xfId="2" applyFont="1" applyFill="1" applyAlignment="1">
      <alignment horizontal="left" vertical="center"/>
    </xf>
    <xf numFmtId="0" fontId="6" fillId="6" borderId="0" xfId="2" applyFill="1"/>
    <xf numFmtId="0" fontId="15" fillId="11" borderId="20" xfId="2" applyFont="1" applyFill="1" applyBorder="1" applyAlignment="1">
      <alignment horizontal="left" vertical="center" wrapText="1"/>
    </xf>
    <xf numFmtId="0" fontId="15" fillId="11" borderId="20" xfId="0" applyFont="1" applyFill="1" applyBorder="1" applyAlignment="1" applyProtection="1">
      <alignment horizontal="left" vertical="center" wrapText="1"/>
      <protection hidden="1"/>
    </xf>
    <xf numFmtId="49" fontId="5" fillId="0" borderId="0" xfId="4" applyNumberFormat="1" applyAlignment="1">
      <alignment horizontal="right" vertical="center" wrapText="1"/>
    </xf>
    <xf numFmtId="49" fontId="5" fillId="0" borderId="3" xfId="4" applyNumberFormat="1" applyBorder="1" applyAlignment="1">
      <alignment horizontal="right" vertical="center" wrapText="1"/>
    </xf>
    <xf numFmtId="3" fontId="5" fillId="34" borderId="54" xfId="4" applyNumberFormat="1" applyFill="1" applyBorder="1" applyAlignment="1" applyProtection="1">
      <alignment horizontal="right" vertical="center"/>
      <protection locked="0"/>
    </xf>
    <xf numFmtId="0" fontId="5" fillId="34" borderId="55" xfId="4" applyFill="1" applyBorder="1" applyAlignment="1" applyProtection="1">
      <alignment horizontal="right" vertical="center"/>
      <protection locked="0"/>
    </xf>
    <xf numFmtId="0" fontId="5" fillId="34" borderId="54" xfId="4" applyFill="1" applyBorder="1" applyAlignment="1" applyProtection="1">
      <alignment horizontal="right" vertical="center"/>
      <protection locked="0"/>
    </xf>
    <xf numFmtId="3" fontId="5" fillId="34" borderId="55" xfId="4" applyNumberFormat="1" applyFill="1" applyBorder="1" applyAlignment="1" applyProtection="1">
      <alignment horizontal="right" vertical="center"/>
      <protection locked="0"/>
    </xf>
    <xf numFmtId="0" fontId="5" fillId="34" borderId="14" xfId="4" applyFill="1" applyBorder="1" applyAlignment="1" applyProtection="1">
      <alignment horizontal="right" vertical="center"/>
      <protection locked="0"/>
    </xf>
    <xf numFmtId="1" fontId="5" fillId="34" borderId="55" xfId="4" applyNumberFormat="1" applyFill="1" applyBorder="1" applyAlignment="1" applyProtection="1">
      <alignment horizontal="center" vertical="center"/>
      <protection locked="0"/>
    </xf>
    <xf numFmtId="1" fontId="5" fillId="34" borderId="54" xfId="4" applyNumberFormat="1" applyFill="1" applyBorder="1" applyAlignment="1" applyProtection="1">
      <alignment horizontal="center" vertical="center"/>
      <protection locked="0"/>
    </xf>
    <xf numFmtId="3" fontId="5" fillId="34" borderId="47" xfId="4" applyNumberFormat="1" applyFill="1" applyBorder="1" applyAlignment="1" applyProtection="1">
      <alignment horizontal="right" vertical="center"/>
      <protection locked="0"/>
    </xf>
    <xf numFmtId="167" fontId="5" fillId="34" borderId="47" xfId="4" applyNumberFormat="1" applyFill="1" applyBorder="1" applyAlignment="1" applyProtection="1">
      <alignment horizontal="center" vertical="center"/>
      <protection locked="0"/>
    </xf>
    <xf numFmtId="166" fontId="5" fillId="34" borderId="47" xfId="4" applyNumberFormat="1" applyFill="1" applyBorder="1" applyAlignment="1" applyProtection="1">
      <alignment horizontal="right" vertical="center"/>
      <protection locked="0"/>
    </xf>
    <xf numFmtId="0" fontId="5" fillId="34" borderId="47" xfId="4" applyFill="1" applyBorder="1" applyAlignment="1">
      <alignment vertical="center"/>
    </xf>
    <xf numFmtId="0" fontId="5" fillId="34" borderId="47" xfId="4" applyFill="1" applyBorder="1" applyAlignment="1">
      <alignment horizontal="left" vertical="center"/>
    </xf>
    <xf numFmtId="0" fontId="64" fillId="34" borderId="47" xfId="4" applyFont="1" applyFill="1" applyBorder="1" applyAlignment="1">
      <alignment horizontal="center" vertical="center"/>
    </xf>
    <xf numFmtId="0" fontId="5" fillId="34" borderId="0" xfId="4" applyFill="1" applyAlignment="1">
      <alignment vertical="center"/>
    </xf>
    <xf numFmtId="167" fontId="5" fillId="34" borderId="62" xfId="4" applyNumberFormat="1" applyFill="1" applyBorder="1" applyAlignment="1" applyProtection="1">
      <alignment horizontal="right" vertical="center"/>
      <protection locked="0"/>
    </xf>
    <xf numFmtId="0" fontId="5" fillId="0" borderId="13" xfId="4" applyBorder="1" applyAlignment="1">
      <alignment vertical="center"/>
    </xf>
    <xf numFmtId="0" fontId="12" fillId="35" borderId="20" xfId="2" applyFont="1" applyFill="1" applyBorder="1" applyAlignment="1">
      <alignment horizontal="center" vertical="center"/>
    </xf>
    <xf numFmtId="49" fontId="5" fillId="0" borderId="14" xfId="4" applyNumberFormat="1" applyBorder="1" applyAlignment="1" applyProtection="1">
      <alignment horizontal="left" vertical="center"/>
      <protection locked="0"/>
    </xf>
    <xf numFmtId="49" fontId="5" fillId="0" borderId="14" xfId="4" applyNumberFormat="1" applyBorder="1" applyAlignment="1" applyProtection="1">
      <alignment horizontal="center" vertical="center"/>
      <protection locked="0"/>
    </xf>
    <xf numFmtId="0" fontId="50" fillId="0" borderId="86" xfId="2" applyFont="1" applyBorder="1" applyAlignment="1">
      <alignment vertical="center"/>
    </xf>
    <xf numFmtId="0" fontId="37" fillId="12" borderId="87" xfId="2" applyFont="1" applyFill="1" applyBorder="1" applyAlignment="1">
      <alignment horizontal="center" vertical="center"/>
    </xf>
    <xf numFmtId="0" fontId="14" fillId="0" borderId="87" xfId="2" applyFont="1" applyBorder="1" applyAlignment="1">
      <alignment vertical="center"/>
    </xf>
    <xf numFmtId="0" fontId="50" fillId="0" borderId="21" xfId="2" applyFont="1" applyBorder="1" applyAlignment="1">
      <alignment vertical="center"/>
    </xf>
    <xf numFmtId="0" fontId="50" fillId="0" borderId="0" xfId="2" applyFont="1" applyAlignment="1">
      <alignment vertical="center"/>
    </xf>
    <xf numFmtId="0" fontId="14" fillId="0" borderId="22" xfId="2" applyFont="1" applyBorder="1" applyAlignment="1">
      <alignment vertical="center"/>
    </xf>
    <xf numFmtId="0" fontId="14" fillId="0" borderId="21" xfId="2" applyFont="1" applyBorder="1" applyAlignment="1">
      <alignment vertical="center"/>
    </xf>
    <xf numFmtId="0" fontId="14" fillId="0" borderId="88" xfId="2" applyFont="1" applyBorder="1" applyAlignment="1">
      <alignment vertical="center"/>
    </xf>
    <xf numFmtId="0" fontId="14" fillId="0" borderId="89" xfId="2" applyFont="1" applyBorder="1" applyAlignment="1">
      <alignment vertical="center"/>
    </xf>
    <xf numFmtId="0" fontId="50" fillId="0" borderId="90" xfId="2" applyFont="1" applyBorder="1" applyAlignment="1">
      <alignment vertical="center"/>
    </xf>
    <xf numFmtId="0" fontId="153" fillId="0" borderId="22" xfId="2" applyFont="1" applyBorder="1" applyAlignment="1">
      <alignment vertical="center"/>
    </xf>
    <xf numFmtId="0" fontId="37" fillId="12" borderId="87" xfId="2" applyFont="1" applyFill="1" applyBorder="1" applyAlignment="1">
      <alignment horizontal="center" vertical="center" wrapText="1"/>
    </xf>
    <xf numFmtId="0" fontId="37" fillId="11" borderId="87" xfId="2" applyFont="1" applyFill="1" applyBorder="1" applyAlignment="1">
      <alignment horizontal="center" vertical="center"/>
    </xf>
    <xf numFmtId="0" fontId="37" fillId="12" borderId="0" xfId="2" applyFont="1" applyFill="1" applyAlignment="1">
      <alignment horizontal="center" vertical="center" wrapText="1"/>
    </xf>
    <xf numFmtId="0" fontId="12" fillId="0" borderId="0" xfId="2" applyFont="1" applyAlignment="1">
      <alignment horizontal="right" vertical="center"/>
    </xf>
    <xf numFmtId="0" fontId="17" fillId="0" borderId="22" xfId="2" applyFont="1" applyBorder="1" applyAlignment="1">
      <alignment vertical="center"/>
    </xf>
    <xf numFmtId="0" fontId="17" fillId="0" borderId="22" xfId="4" applyFont="1" applyBorder="1" applyAlignment="1">
      <alignment vertical="center"/>
    </xf>
    <xf numFmtId="0" fontId="17" fillId="0" borderId="22" xfId="4" applyFont="1" applyBorder="1" applyAlignment="1">
      <alignment horizontal="left" vertical="center"/>
    </xf>
    <xf numFmtId="0" fontId="17" fillId="0" borderId="22" xfId="4" applyFont="1" applyBorder="1" applyAlignment="1">
      <alignment horizontal="center" vertical="center"/>
    </xf>
    <xf numFmtId="0" fontId="17" fillId="0" borderId="47" xfId="4" applyFont="1" applyBorder="1" applyAlignment="1">
      <alignment vertical="center"/>
    </xf>
    <xf numFmtId="0" fontId="17" fillId="0" borderId="47" xfId="4" applyFont="1" applyBorder="1" applyAlignment="1">
      <alignment horizontal="center" vertical="center"/>
    </xf>
    <xf numFmtId="2" fontId="45" fillId="0" borderId="47" xfId="4" applyNumberFormat="1" applyFont="1" applyBorder="1" applyAlignment="1">
      <alignment vertical="center"/>
    </xf>
    <xf numFmtId="2" fontId="17" fillId="7" borderId="47" xfId="4" applyNumberFormat="1" applyFont="1" applyFill="1" applyBorder="1" applyAlignment="1">
      <alignment vertical="center"/>
    </xf>
    <xf numFmtId="0" fontId="45" fillId="0" borderId="47" xfId="4" applyFont="1" applyBorder="1" applyAlignment="1">
      <alignment horizontal="center" vertical="center"/>
    </xf>
    <xf numFmtId="0" fontId="46" fillId="0" borderId="47" xfId="4" applyFont="1" applyBorder="1" applyAlignment="1">
      <alignment horizontal="center" vertical="center"/>
    </xf>
    <xf numFmtId="0" fontId="17" fillId="0" borderId="47" xfId="4" applyFont="1" applyBorder="1" applyAlignment="1">
      <alignment horizontal="left" vertical="center"/>
    </xf>
    <xf numFmtId="0" fontId="17" fillId="7" borderId="47" xfId="4" applyFont="1" applyFill="1" applyBorder="1" applyAlignment="1">
      <alignment vertical="center"/>
    </xf>
    <xf numFmtId="0" fontId="17" fillId="0" borderId="21" xfId="4" applyFont="1" applyBorder="1" applyAlignment="1">
      <alignment vertical="center"/>
    </xf>
    <xf numFmtId="0" fontId="12" fillId="13" borderId="0" xfId="4" applyFont="1" applyFill="1" applyAlignment="1" applyProtection="1">
      <alignment horizontal="center" vertical="center"/>
      <protection locked="0"/>
    </xf>
    <xf numFmtId="16" fontId="13" fillId="5" borderId="0" xfId="4" quotePrefix="1" applyNumberFormat="1" applyFont="1" applyFill="1" applyAlignment="1" applyProtection="1">
      <alignment horizontal="left" vertical="center"/>
      <protection locked="0"/>
    </xf>
    <xf numFmtId="0" fontId="13" fillId="5" borderId="0" xfId="4" quotePrefix="1" applyFont="1" applyFill="1" applyAlignment="1" applyProtection="1">
      <alignment horizontal="left" vertical="center"/>
      <protection locked="0"/>
    </xf>
    <xf numFmtId="0" fontId="5" fillId="0" borderId="50" xfId="4" applyBorder="1" applyAlignment="1">
      <alignment horizontal="right" vertical="center"/>
    </xf>
    <xf numFmtId="0" fontId="112" fillId="0" borderId="0" xfId="4" applyFont="1" applyAlignment="1">
      <alignment horizontal="justify" vertical="center" wrapText="1"/>
    </xf>
    <xf numFmtId="0" fontId="16" fillId="0" borderId="43" xfId="4" applyFont="1" applyBorder="1" applyAlignment="1" applyProtection="1">
      <alignment horizontal="justify" vertical="center" wrapText="1"/>
      <protection locked="0"/>
    </xf>
    <xf numFmtId="0" fontId="16" fillId="0" borderId="44" xfId="4" applyFont="1" applyBorder="1" applyAlignment="1" applyProtection="1">
      <alignment horizontal="justify" vertical="center" wrapText="1"/>
      <protection locked="0"/>
    </xf>
    <xf numFmtId="0" fontId="16" fillId="0" borderId="45" xfId="4" applyFont="1" applyBorder="1" applyAlignment="1" applyProtection="1">
      <alignment horizontal="justify" vertical="center" wrapText="1"/>
      <protection locked="0"/>
    </xf>
    <xf numFmtId="0" fontId="16" fillId="0" borderId="16" xfId="4" applyFont="1" applyBorder="1" applyAlignment="1" applyProtection="1">
      <alignment horizontal="justify" vertical="center" wrapText="1"/>
      <protection locked="0"/>
    </xf>
    <xf numFmtId="0" fontId="16" fillId="0" borderId="46" xfId="4" applyFont="1" applyBorder="1" applyAlignment="1" applyProtection="1">
      <alignment horizontal="justify" vertical="center" wrapText="1"/>
      <protection locked="0"/>
    </xf>
    <xf numFmtId="0" fontId="114" fillId="0" borderId="0" xfId="4" applyFont="1" applyAlignment="1">
      <alignment horizontal="center" vertical="center"/>
    </xf>
    <xf numFmtId="0" fontId="114" fillId="0" borderId="0" xfId="4" applyFont="1" applyAlignment="1">
      <alignment vertical="center" wrapText="1"/>
    </xf>
    <xf numFmtId="0" fontId="12" fillId="36" borderId="20" xfId="2" applyFont="1" applyFill="1" applyBorder="1" applyAlignment="1">
      <alignment horizontal="center" vertical="center"/>
    </xf>
    <xf numFmtId="0" fontId="17" fillId="18" borderId="92" xfId="2" applyFont="1" applyFill="1" applyBorder="1" applyAlignment="1">
      <alignment vertical="center"/>
    </xf>
    <xf numFmtId="0" fontId="23" fillId="18" borderId="93" xfId="2" applyFont="1" applyFill="1" applyBorder="1" applyAlignment="1">
      <alignment vertical="center"/>
    </xf>
    <xf numFmtId="0" fontId="22" fillId="18" borderId="94" xfId="2" applyFont="1" applyFill="1" applyBorder="1" applyAlignment="1">
      <alignment horizontal="center" vertical="center"/>
    </xf>
    <xf numFmtId="0" fontId="17" fillId="18" borderId="91" xfId="2" applyFont="1" applyFill="1" applyBorder="1" applyAlignment="1">
      <alignment horizontal="center" vertical="center"/>
    </xf>
    <xf numFmtId="0" fontId="6" fillId="0" borderId="36" xfId="4" applyFont="1" applyBorder="1" applyAlignment="1">
      <alignment vertical="center"/>
    </xf>
    <xf numFmtId="0" fontId="32" fillId="5" borderId="24" xfId="4" applyFont="1" applyFill="1" applyBorder="1" applyAlignment="1">
      <alignment horizontal="center" vertical="center"/>
    </xf>
    <xf numFmtId="3" fontId="15" fillId="37" borderId="24" xfId="4" applyNumberFormat="1" applyFont="1" applyFill="1" applyBorder="1" applyAlignment="1">
      <alignment horizontal="right" vertical="center"/>
    </xf>
    <xf numFmtId="0" fontId="5" fillId="0" borderId="0" xfId="0" applyFont="1"/>
    <xf numFmtId="166" fontId="15" fillId="37" borderId="24" xfId="4" applyNumberFormat="1" applyFont="1" applyFill="1" applyBorder="1" applyAlignment="1">
      <alignment horizontal="right" vertical="center"/>
    </xf>
    <xf numFmtId="0" fontId="6" fillId="0" borderId="41" xfId="4" applyFont="1" applyBorder="1" applyAlignment="1">
      <alignment vertical="center"/>
    </xf>
    <xf numFmtId="0" fontId="0" fillId="0" borderId="41" xfId="0" applyBorder="1"/>
    <xf numFmtId="0" fontId="107" fillId="0" borderId="38" xfId="4" applyFont="1" applyBorder="1" applyAlignment="1">
      <alignment vertical="center"/>
    </xf>
    <xf numFmtId="0" fontId="107" fillId="0" borderId="40" xfId="4" applyFont="1" applyBorder="1" applyAlignment="1">
      <alignment vertical="center"/>
    </xf>
    <xf numFmtId="0" fontId="96" fillId="0" borderId="41" xfId="4" applyFont="1" applyBorder="1" applyAlignment="1" applyProtection="1">
      <alignment vertical="center"/>
      <protection locked="0"/>
    </xf>
    <xf numFmtId="0" fontId="107" fillId="0" borderId="41" xfId="4" applyFont="1" applyBorder="1" applyAlignment="1">
      <alignment vertical="center"/>
    </xf>
    <xf numFmtId="0" fontId="140" fillId="0" borderId="21" xfId="4" applyFont="1" applyBorder="1" applyAlignment="1">
      <alignment horizontal="left" vertical="center"/>
    </xf>
    <xf numFmtId="0" fontId="16" fillId="0" borderId="21" xfId="4" applyFont="1" applyBorder="1" applyAlignment="1">
      <alignment vertical="center"/>
    </xf>
    <xf numFmtId="0" fontId="16" fillId="0" borderId="21" xfId="4" applyFont="1" applyBorder="1" applyAlignment="1">
      <alignment horizontal="left" vertical="center"/>
    </xf>
    <xf numFmtId="166" fontId="16" fillId="4" borderId="26" xfId="4" applyNumberFormat="1" applyFont="1" applyFill="1" applyBorder="1" applyAlignment="1" applyProtection="1">
      <alignment horizontal="right" vertical="center"/>
      <protection locked="0"/>
    </xf>
    <xf numFmtId="0" fontId="101" fillId="0" borderId="13" xfId="4" applyFont="1" applyBorder="1" applyAlignment="1">
      <alignment vertical="center"/>
    </xf>
    <xf numFmtId="0" fontId="16" fillId="0" borderId="95" xfId="4" applyFont="1" applyBorder="1" applyAlignment="1" applyProtection="1">
      <alignment horizontal="justify" vertical="center" wrapText="1"/>
      <protection locked="0"/>
    </xf>
    <xf numFmtId="0" fontId="16" fillId="0" borderId="96" xfId="4" applyFont="1" applyBorder="1" applyAlignment="1" applyProtection="1">
      <alignment horizontal="justify" vertical="center" wrapText="1"/>
      <protection locked="0"/>
    </xf>
    <xf numFmtId="0" fontId="16" fillId="0" borderId="97" xfId="4" applyFont="1" applyBorder="1" applyAlignment="1" applyProtection="1">
      <alignment horizontal="justify" vertical="center" wrapText="1"/>
      <protection locked="0"/>
    </xf>
    <xf numFmtId="0" fontId="16" fillId="0" borderId="0" xfId="4" applyFont="1" applyAlignment="1" applyProtection="1">
      <alignment horizontal="justify" vertical="center" wrapText="1"/>
      <protection locked="0"/>
    </xf>
    <xf numFmtId="0" fontId="6" fillId="0" borderId="73" xfId="4" applyFont="1" applyBorder="1" applyAlignment="1" applyProtection="1">
      <alignment horizontal="left" vertical="center"/>
      <protection locked="0"/>
    </xf>
    <xf numFmtId="0" fontId="6" fillId="0" borderId="98" xfId="4" applyFont="1" applyBorder="1" applyAlignment="1" applyProtection="1">
      <alignment horizontal="left" vertical="center"/>
      <protection locked="0"/>
    </xf>
    <xf numFmtId="0" fontId="6" fillId="0" borderId="13" xfId="4" applyFont="1" applyBorder="1" applyAlignment="1" applyProtection="1">
      <alignment horizontal="left" vertical="center"/>
      <protection locked="0"/>
    </xf>
    <xf numFmtId="0" fontId="17" fillId="0" borderId="13" xfId="4" applyFont="1" applyBorder="1" applyAlignment="1">
      <alignment vertical="center"/>
    </xf>
    <xf numFmtId="0" fontId="112" fillId="0" borderId="13" xfId="4" applyFont="1" applyBorder="1" applyAlignment="1">
      <alignment horizontal="justify" vertical="center" wrapText="1"/>
    </xf>
    <xf numFmtId="0" fontId="111" fillId="0" borderId="99" xfId="4" applyFont="1" applyBorder="1" applyAlignment="1">
      <alignment horizontal="left" vertical="center"/>
    </xf>
    <xf numFmtId="0" fontId="6" fillId="0" borderId="22" xfId="4" applyFont="1" applyBorder="1" applyAlignment="1">
      <alignment vertical="center"/>
    </xf>
    <xf numFmtId="0" fontId="6" fillId="0" borderId="21" xfId="4" applyFont="1" applyBorder="1" applyAlignment="1" applyProtection="1">
      <alignment horizontal="left" vertical="center"/>
      <protection locked="0"/>
    </xf>
    <xf numFmtId="0" fontId="6" fillId="0" borderId="22" xfId="4" applyFont="1" applyBorder="1" applyAlignment="1" applyProtection="1">
      <alignment horizontal="left" vertical="center"/>
      <protection locked="0"/>
    </xf>
    <xf numFmtId="0" fontId="161" fillId="0" borderId="0" xfId="4" applyFont="1" applyAlignment="1">
      <alignment vertical="center"/>
    </xf>
    <xf numFmtId="0" fontId="17" fillId="0" borderId="0" xfId="4" quotePrefix="1" applyFont="1" applyAlignment="1">
      <alignment horizontal="center" vertical="center"/>
    </xf>
    <xf numFmtId="0" fontId="16" fillId="0" borderId="0" xfId="4" quotePrefix="1" applyFont="1" applyAlignment="1">
      <alignment horizontal="center" vertical="center"/>
    </xf>
    <xf numFmtId="0" fontId="14" fillId="0" borderId="22" xfId="4" applyFont="1" applyBorder="1" applyAlignment="1">
      <alignment vertical="center"/>
    </xf>
    <xf numFmtId="0" fontId="5" fillId="0" borderId="100" xfId="4" applyBorder="1" applyAlignment="1">
      <alignment vertical="center"/>
    </xf>
    <xf numFmtId="0" fontId="68" fillId="0" borderId="15" xfId="4" applyFont="1" applyBorder="1" applyAlignment="1">
      <alignment vertical="center"/>
    </xf>
    <xf numFmtId="0" fontId="88" fillId="0" borderId="15" xfId="4" applyFont="1" applyBorder="1" applyAlignment="1">
      <alignment horizontal="right" vertical="center"/>
    </xf>
    <xf numFmtId="0" fontId="162" fillId="0" borderId="15" xfId="4" applyFont="1" applyBorder="1" applyAlignment="1">
      <alignment horizontal="left" vertical="center"/>
    </xf>
    <xf numFmtId="0" fontId="152" fillId="0" borderId="0" xfId="4" applyFont="1" applyAlignment="1">
      <alignment vertical="center" wrapText="1"/>
    </xf>
    <xf numFmtId="0" fontId="152" fillId="0" borderId="0" xfId="4" applyFont="1" applyAlignment="1">
      <alignment horizontal="center" vertical="center" wrapText="1"/>
    </xf>
    <xf numFmtId="14" fontId="12" fillId="38" borderId="20" xfId="2" applyNumberFormat="1" applyFont="1" applyFill="1" applyBorder="1" applyAlignment="1">
      <alignment horizontal="center" vertical="center"/>
    </xf>
    <xf numFmtId="0" fontId="12" fillId="38" borderId="20" xfId="2" applyFont="1" applyFill="1" applyBorder="1" applyAlignment="1">
      <alignment horizontal="center" vertical="center"/>
    </xf>
    <xf numFmtId="0" fontId="17" fillId="38" borderId="0" xfId="2" applyFont="1" applyFill="1" applyAlignment="1">
      <alignment horizontal="center" vertical="center"/>
    </xf>
    <xf numFmtId="0" fontId="14" fillId="38" borderId="0" xfId="2" applyFont="1" applyFill="1" applyAlignment="1">
      <alignment horizontal="center"/>
    </xf>
    <xf numFmtId="0" fontId="48" fillId="38" borderId="0" xfId="2" applyFont="1" applyFill="1" applyAlignment="1">
      <alignment horizontal="left" vertical="center"/>
    </xf>
    <xf numFmtId="0" fontId="14" fillId="38" borderId="0" xfId="2" applyFont="1" applyFill="1"/>
    <xf numFmtId="0" fontId="164" fillId="6" borderId="0" xfId="2" applyFont="1" applyFill="1"/>
    <xf numFmtId="0" fontId="164" fillId="0" borderId="0" xfId="2" applyFont="1"/>
    <xf numFmtId="0" fontId="165" fillId="0" borderId="0" xfId="2" applyFont="1" applyAlignment="1">
      <alignment vertical="center"/>
    </xf>
    <xf numFmtId="0" fontId="88" fillId="0" borderId="0" xfId="4" applyFont="1" applyAlignment="1">
      <alignment horizontal="left" vertical="center" wrapText="1"/>
    </xf>
    <xf numFmtId="167" fontId="5" fillId="34" borderId="47" xfId="4" applyNumberFormat="1" applyFill="1" applyBorder="1" applyAlignment="1" applyProtection="1">
      <alignment horizontal="center" vertical="center"/>
      <protection locked="0"/>
    </xf>
    <xf numFmtId="0" fontId="71" fillId="0" borderId="0" xfId="4" applyFont="1" applyAlignment="1">
      <alignment horizontal="left" vertical="center"/>
    </xf>
    <xf numFmtId="0" fontId="71" fillId="0" borderId="15" xfId="4" applyFont="1" applyBorder="1" applyAlignment="1">
      <alignment horizontal="left" vertical="center"/>
    </xf>
    <xf numFmtId="0" fontId="89" fillId="34" borderId="47" xfId="4" applyFont="1" applyFill="1" applyBorder="1" applyAlignment="1">
      <alignment horizontal="left" vertical="center"/>
    </xf>
    <xf numFmtId="0" fontId="89" fillId="34" borderId="50" xfId="4" applyFont="1" applyFill="1" applyBorder="1" applyAlignment="1">
      <alignment horizontal="left" vertical="center"/>
    </xf>
    <xf numFmtId="0" fontId="68" fillId="0" borderId="0" xfId="4" applyFont="1" applyAlignment="1">
      <alignment vertical="center" wrapText="1"/>
    </xf>
    <xf numFmtId="0" fontId="68" fillId="0" borderId="15" xfId="4" applyFont="1" applyBorder="1" applyAlignment="1">
      <alignment vertical="center" wrapText="1"/>
    </xf>
    <xf numFmtId="0" fontId="68" fillId="0" borderId="0" xfId="4" applyFont="1" applyAlignment="1">
      <alignment horizontal="justify" vertical="center" wrapText="1"/>
    </xf>
    <xf numFmtId="0" fontId="5" fillId="0" borderId="0" xfId="4" applyAlignment="1">
      <alignment vertical="center" wrapText="1"/>
    </xf>
    <xf numFmtId="0" fontId="67" fillId="0" borderId="0" xfId="4" applyFont="1" applyAlignment="1">
      <alignment horizontal="left" vertical="center" wrapText="1"/>
    </xf>
    <xf numFmtId="1" fontId="5" fillId="34" borderId="55" xfId="4" applyNumberFormat="1" applyFill="1" applyBorder="1" applyAlignment="1" applyProtection="1">
      <alignment horizontal="center" vertical="center"/>
      <protection locked="0"/>
    </xf>
    <xf numFmtId="1" fontId="5" fillId="34" borderId="54" xfId="4" applyNumberFormat="1" applyFill="1" applyBorder="1" applyAlignment="1" applyProtection="1">
      <alignment horizontal="center" vertical="center"/>
      <protection locked="0"/>
    </xf>
    <xf numFmtId="3" fontId="5" fillId="34" borderId="55" xfId="4" applyNumberFormat="1" applyFill="1" applyBorder="1" applyAlignment="1" applyProtection="1">
      <alignment horizontal="right" vertical="center"/>
      <protection locked="0"/>
    </xf>
    <xf numFmtId="3" fontId="5" fillId="34" borderId="54" xfId="4" applyNumberFormat="1" applyFill="1" applyBorder="1" applyAlignment="1" applyProtection="1">
      <alignment horizontal="right" vertical="center"/>
      <protection locked="0"/>
    </xf>
    <xf numFmtId="167" fontId="5" fillId="34" borderId="69" xfId="4" applyNumberFormat="1" applyFill="1" applyBorder="1" applyAlignment="1" applyProtection="1">
      <alignment horizontal="center" vertical="center"/>
      <protection locked="0"/>
    </xf>
    <xf numFmtId="167" fontId="5" fillId="34" borderId="57" xfId="4" applyNumberFormat="1" applyFill="1" applyBorder="1" applyAlignment="1" applyProtection="1">
      <alignment horizontal="center" vertical="center"/>
      <protection locked="0"/>
    </xf>
    <xf numFmtId="0" fontId="5" fillId="34" borderId="55" xfId="4" applyFill="1" applyBorder="1" applyAlignment="1" applyProtection="1">
      <alignment horizontal="right" vertical="center"/>
      <protection locked="0"/>
    </xf>
    <xf numFmtId="0" fontId="5" fillId="34" borderId="54" xfId="4" applyFill="1" applyBorder="1" applyAlignment="1" applyProtection="1">
      <alignment horizontal="right" vertical="center"/>
      <protection locked="0"/>
    </xf>
    <xf numFmtId="167" fontId="5" fillId="34" borderId="62" xfId="4" applyNumberFormat="1" applyFill="1" applyBorder="1" applyAlignment="1" applyProtection="1">
      <alignment horizontal="center" vertical="center"/>
      <protection locked="0"/>
    </xf>
    <xf numFmtId="2" fontId="5" fillId="22" borderId="55" xfId="4" applyNumberFormat="1" applyFill="1" applyBorder="1" applyAlignment="1">
      <alignment horizontal="right" vertical="center"/>
    </xf>
    <xf numFmtId="2" fontId="5" fillId="22" borderId="54" xfId="4" applyNumberFormat="1" applyFill="1" applyBorder="1" applyAlignment="1">
      <alignment horizontal="right" vertical="center"/>
    </xf>
    <xf numFmtId="167" fontId="5" fillId="22" borderId="55" xfId="4" applyNumberFormat="1" applyFill="1" applyBorder="1" applyAlignment="1">
      <alignment horizontal="right" vertical="center"/>
    </xf>
    <xf numFmtId="167" fontId="5" fillId="22" borderId="54" xfId="4" applyNumberFormat="1" applyFill="1" applyBorder="1" applyAlignment="1">
      <alignment horizontal="right" vertical="center"/>
    </xf>
    <xf numFmtId="167" fontId="5" fillId="34" borderId="55" xfId="4" applyNumberFormat="1" applyFill="1" applyBorder="1" applyAlignment="1" applyProtection="1">
      <alignment horizontal="right" vertical="center"/>
      <protection locked="0"/>
    </xf>
    <xf numFmtId="167" fontId="5" fillId="34" borderId="54" xfId="4" applyNumberFormat="1" applyFill="1" applyBorder="1" applyAlignment="1" applyProtection="1">
      <alignment horizontal="right" vertical="center"/>
      <protection locked="0"/>
    </xf>
    <xf numFmtId="0" fontId="70" fillId="0" borderId="0" xfId="4" applyFont="1" applyAlignment="1">
      <alignment vertical="center"/>
    </xf>
    <xf numFmtId="0" fontId="70" fillId="0" borderId="3" xfId="4" applyFont="1" applyBorder="1" applyAlignment="1">
      <alignment vertical="center"/>
    </xf>
    <xf numFmtId="0" fontId="66" fillId="34" borderId="50" xfId="4" applyFont="1" applyFill="1" applyBorder="1" applyAlignment="1" applyProtection="1">
      <alignment horizontal="left" vertical="center"/>
      <protection locked="0"/>
    </xf>
    <xf numFmtId="0" fontId="66" fillId="34" borderId="50" xfId="4" applyFont="1" applyFill="1" applyBorder="1" applyAlignment="1" applyProtection="1">
      <alignment horizontal="right" vertical="center"/>
      <protection locked="0"/>
    </xf>
    <xf numFmtId="2" fontId="66" fillId="34" borderId="77" xfId="4" applyNumberFormat="1" applyFont="1" applyFill="1" applyBorder="1" applyAlignment="1" applyProtection="1">
      <alignment horizontal="left" vertical="center"/>
      <protection locked="0"/>
    </xf>
    <xf numFmtId="165" fontId="66" fillId="34" borderId="77" xfId="4" applyNumberFormat="1" applyFont="1" applyFill="1" applyBorder="1" applyAlignment="1" applyProtection="1">
      <alignment horizontal="right" vertical="center"/>
      <protection locked="0"/>
    </xf>
    <xf numFmtId="0" fontId="66" fillId="34" borderId="77" xfId="4" applyFont="1" applyFill="1" applyBorder="1" applyAlignment="1" applyProtection="1">
      <alignment horizontal="right" vertical="center"/>
      <protection locked="0"/>
    </xf>
    <xf numFmtId="49" fontId="70" fillId="0" borderId="3" xfId="4" applyNumberFormat="1" applyFont="1" applyBorder="1" applyAlignment="1">
      <alignment horizontal="center" vertical="top"/>
    </xf>
    <xf numFmtId="167" fontId="5" fillId="34" borderId="60" xfId="4" applyNumberFormat="1" applyFill="1" applyBorder="1" applyAlignment="1" applyProtection="1">
      <alignment horizontal="right" vertical="center"/>
      <protection locked="0"/>
    </xf>
    <xf numFmtId="167" fontId="5" fillId="34" borderId="66" xfId="4" applyNumberFormat="1" applyFill="1" applyBorder="1" applyAlignment="1" applyProtection="1">
      <alignment horizontal="right" vertical="center"/>
      <protection locked="0"/>
    </xf>
    <xf numFmtId="167" fontId="5" fillId="13" borderId="68" xfId="4" applyNumberFormat="1" applyFill="1" applyBorder="1" applyAlignment="1">
      <alignment horizontal="right" vertical="center"/>
    </xf>
    <xf numFmtId="167" fontId="5" fillId="13" borderId="55" xfId="4" applyNumberFormat="1" applyFill="1" applyBorder="1" applyAlignment="1">
      <alignment horizontal="right" vertical="center"/>
    </xf>
    <xf numFmtId="167" fontId="5" fillId="34" borderId="67" xfId="4" applyNumberFormat="1" applyFill="1" applyBorder="1" applyAlignment="1" applyProtection="1">
      <alignment horizontal="right" vertical="center"/>
      <protection locked="0"/>
    </xf>
    <xf numFmtId="167" fontId="5" fillId="34" borderId="14" xfId="4" applyNumberFormat="1" applyFill="1" applyBorder="1" applyAlignment="1" applyProtection="1">
      <alignment horizontal="right" vertical="center"/>
      <protection locked="0"/>
    </xf>
    <xf numFmtId="0" fontId="5" fillId="34" borderId="85" xfId="4" applyFill="1" applyBorder="1" applyAlignment="1" applyProtection="1">
      <alignment horizontal="right" vertical="center"/>
      <protection locked="0"/>
    </xf>
    <xf numFmtId="0" fontId="5" fillId="34" borderId="54" xfId="4" applyFill="1" applyBorder="1" applyAlignment="1" applyProtection="1">
      <alignment horizontal="center" vertical="center"/>
      <protection locked="0"/>
    </xf>
    <xf numFmtId="166" fontId="5" fillId="34" borderId="54" xfId="4" applyNumberFormat="1" applyFill="1" applyBorder="1" applyAlignment="1" applyProtection="1">
      <alignment horizontal="right" vertical="center"/>
      <protection locked="0"/>
    </xf>
    <xf numFmtId="0" fontId="5" fillId="22" borderId="55" xfId="4" applyFill="1" applyBorder="1" applyAlignment="1" applyProtection="1">
      <alignment horizontal="right" vertical="center"/>
      <protection locked="0"/>
    </xf>
    <xf numFmtId="0" fontId="5" fillId="22" borderId="54" xfId="4" applyFill="1" applyBorder="1" applyAlignment="1" applyProtection="1">
      <alignment horizontal="right" vertical="center"/>
      <protection locked="0"/>
    </xf>
    <xf numFmtId="0" fontId="5" fillId="34" borderId="0" xfId="0" applyFont="1" applyFill="1" applyAlignment="1" applyProtection="1">
      <alignment horizontal="left" vertical="center" wrapText="1"/>
      <protection locked="0"/>
    </xf>
    <xf numFmtId="0" fontId="5" fillId="34" borderId="12" xfId="0" applyFont="1" applyFill="1" applyBorder="1" applyAlignment="1" applyProtection="1">
      <alignment horizontal="left" vertical="center" wrapText="1"/>
      <protection locked="0"/>
    </xf>
    <xf numFmtId="0" fontId="5" fillId="34" borderId="60" xfId="4" applyFill="1" applyBorder="1" applyAlignment="1" applyProtection="1">
      <alignment horizontal="right" vertical="center"/>
      <protection locked="0"/>
    </xf>
    <xf numFmtId="0" fontId="5" fillId="34" borderId="66" xfId="4" applyFill="1" applyBorder="1" applyAlignment="1" applyProtection="1">
      <alignment horizontal="right" vertical="center"/>
      <protection locked="0"/>
    </xf>
    <xf numFmtId="3" fontId="5" fillId="34" borderId="65" xfId="4" applyNumberFormat="1" applyFill="1" applyBorder="1" applyAlignment="1" applyProtection="1">
      <alignment horizontal="center" vertical="center"/>
      <protection locked="0"/>
    </xf>
    <xf numFmtId="3" fontId="5" fillId="34" borderId="60" xfId="4" applyNumberFormat="1" applyFill="1" applyBorder="1" applyAlignment="1" applyProtection="1">
      <alignment horizontal="center" vertical="center"/>
      <protection locked="0"/>
    </xf>
    <xf numFmtId="0" fontId="5" fillId="34" borderId="65" xfId="4" applyFill="1" applyBorder="1" applyAlignment="1" applyProtection="1">
      <alignment horizontal="center" vertical="center"/>
      <protection locked="0"/>
    </xf>
    <xf numFmtId="0" fontId="5" fillId="34" borderId="60" xfId="4" applyFill="1" applyBorder="1" applyAlignment="1" applyProtection="1">
      <alignment horizontal="center" vertical="center"/>
      <protection locked="0"/>
    </xf>
    <xf numFmtId="3" fontId="5" fillId="34" borderId="69" xfId="4" applyNumberFormat="1" applyFill="1" applyBorder="1" applyAlignment="1" applyProtection="1">
      <alignment horizontal="center" vertical="center"/>
      <protection locked="0"/>
    </xf>
    <xf numFmtId="3" fontId="5" fillId="34" borderId="57" xfId="4" applyNumberFormat="1" applyFill="1" applyBorder="1" applyAlignment="1" applyProtection="1">
      <alignment horizontal="center" vertical="center"/>
      <protection locked="0"/>
    </xf>
    <xf numFmtId="167" fontId="5" fillId="34" borderId="57" xfId="4" applyNumberFormat="1" applyFill="1" applyBorder="1" applyAlignment="1" applyProtection="1">
      <alignment horizontal="right" vertical="center"/>
      <protection locked="0"/>
    </xf>
    <xf numFmtId="167" fontId="5" fillId="34" borderId="70" xfId="4" applyNumberFormat="1" applyFill="1" applyBorder="1" applyAlignment="1" applyProtection="1">
      <alignment horizontal="right" vertical="center"/>
      <protection locked="0"/>
    </xf>
    <xf numFmtId="2" fontId="5" fillId="34" borderId="55" xfId="4" applyNumberFormat="1" applyFill="1" applyBorder="1" applyAlignment="1" applyProtection="1">
      <alignment horizontal="right" vertical="center"/>
      <protection locked="0"/>
    </xf>
    <xf numFmtId="2" fontId="5" fillId="34" borderId="54" xfId="4" applyNumberFormat="1" applyFill="1" applyBorder="1" applyAlignment="1" applyProtection="1">
      <alignment horizontal="right" vertical="center"/>
      <protection locked="0"/>
    </xf>
    <xf numFmtId="3" fontId="5" fillId="34" borderId="64" xfId="4" applyNumberFormat="1" applyFill="1" applyBorder="1" applyAlignment="1" applyProtection="1">
      <alignment horizontal="right" vertical="center"/>
      <protection locked="0"/>
    </xf>
    <xf numFmtId="49" fontId="5" fillId="34" borderId="60" xfId="4" applyNumberFormat="1" applyFill="1" applyBorder="1" applyAlignment="1" applyProtection="1">
      <alignment horizontal="center" vertical="center"/>
      <protection locked="0"/>
    </xf>
    <xf numFmtId="49" fontId="5" fillId="34" borderId="66" xfId="4" applyNumberFormat="1" applyFill="1" applyBorder="1" applyAlignment="1" applyProtection="1">
      <alignment horizontal="center" vertical="center"/>
      <protection locked="0"/>
    </xf>
    <xf numFmtId="0" fontId="80" fillId="0" borderId="54" xfId="4" applyFont="1" applyBorder="1" applyAlignment="1" applyProtection="1">
      <alignment horizontal="center" vertical="center"/>
      <protection locked="0"/>
    </xf>
    <xf numFmtId="49" fontId="5" fillId="34" borderId="14" xfId="4" applyNumberFormat="1" applyFill="1" applyBorder="1" applyAlignment="1" applyProtection="1">
      <alignment horizontal="left" vertical="center"/>
      <protection locked="0"/>
    </xf>
    <xf numFmtId="0" fontId="5" fillId="34" borderId="54" xfId="4" applyFill="1" applyBorder="1" applyAlignment="1" applyProtection="1">
      <alignment vertical="center"/>
      <protection locked="0"/>
    </xf>
    <xf numFmtId="0" fontId="88" fillId="0" borderId="0" xfId="4" applyFont="1" applyAlignment="1">
      <alignment vertical="center" wrapText="1"/>
    </xf>
    <xf numFmtId="1" fontId="5" fillId="34" borderId="56" xfId="4" applyNumberFormat="1" applyFill="1" applyBorder="1" applyAlignment="1" applyProtection="1">
      <alignment horizontal="center" vertical="center"/>
      <protection locked="0"/>
    </xf>
    <xf numFmtId="1" fontId="5" fillId="34" borderId="57" xfId="4" applyNumberFormat="1" applyFill="1" applyBorder="1" applyAlignment="1" applyProtection="1">
      <alignment horizontal="center" vertical="center"/>
      <protection locked="0"/>
    </xf>
    <xf numFmtId="1" fontId="5" fillId="34" borderId="58" xfId="4" applyNumberFormat="1" applyFill="1" applyBorder="1" applyAlignment="1" applyProtection="1">
      <alignment horizontal="center" vertical="center"/>
      <protection locked="0"/>
    </xf>
    <xf numFmtId="1" fontId="5" fillId="34" borderId="14" xfId="4" applyNumberFormat="1" applyFill="1" applyBorder="1" applyAlignment="1" applyProtection="1">
      <alignment horizontal="center" vertical="center"/>
      <protection locked="0"/>
    </xf>
    <xf numFmtId="1" fontId="5" fillId="34" borderId="47" xfId="4" applyNumberFormat="1" applyFill="1" applyBorder="1" applyAlignment="1" applyProtection="1">
      <alignment horizontal="center" vertical="center"/>
      <protection locked="0"/>
    </xf>
    <xf numFmtId="0" fontId="5" fillId="34" borderId="22" xfId="0" applyFont="1" applyFill="1" applyBorder="1" applyAlignment="1" applyProtection="1">
      <alignment horizontal="left" vertical="center" wrapText="1"/>
      <protection locked="0"/>
    </xf>
    <xf numFmtId="0" fontId="5" fillId="34" borderId="62" xfId="0" applyFont="1" applyFill="1" applyBorder="1" applyAlignment="1" applyProtection="1">
      <alignment horizontal="left" vertical="center" wrapText="1"/>
      <protection locked="0"/>
    </xf>
    <xf numFmtId="14" fontId="5" fillId="34" borderId="15" xfId="4" applyNumberFormat="1" applyFill="1" applyBorder="1" applyAlignment="1" applyProtection="1">
      <alignment horizontal="left" vertical="center"/>
      <protection locked="0"/>
    </xf>
    <xf numFmtId="0" fontId="5" fillId="34" borderId="15" xfId="4" applyFill="1" applyBorder="1" applyAlignment="1" applyProtection="1">
      <alignment horizontal="left" vertical="center"/>
      <protection locked="0"/>
    </xf>
    <xf numFmtId="1" fontId="5" fillId="34" borderId="54" xfId="4" applyNumberFormat="1" applyFill="1" applyBorder="1" applyAlignment="1" applyProtection="1">
      <alignment horizontal="right" vertical="center"/>
      <protection locked="0"/>
    </xf>
    <xf numFmtId="166" fontId="5" fillId="34" borderId="60" xfId="4" applyNumberFormat="1" applyFill="1" applyBorder="1" applyAlignment="1" applyProtection="1">
      <alignment horizontal="right" vertical="center"/>
      <protection locked="0"/>
    </xf>
    <xf numFmtId="166" fontId="5" fillId="34" borderId="66" xfId="4" applyNumberFormat="1" applyFill="1" applyBorder="1" applyAlignment="1" applyProtection="1">
      <alignment horizontal="right" vertical="center"/>
      <protection locked="0"/>
    </xf>
    <xf numFmtId="166" fontId="5" fillId="34" borderId="65" xfId="4" applyNumberFormat="1" applyFill="1" applyBorder="1" applyAlignment="1" applyProtection="1">
      <alignment horizontal="right" vertical="center"/>
      <protection locked="0"/>
    </xf>
    <xf numFmtId="14" fontId="5" fillId="34" borderId="15" xfId="4" applyNumberFormat="1" applyFill="1" applyBorder="1" applyAlignment="1" applyProtection="1">
      <alignment horizontal="right" vertical="center"/>
      <protection locked="0"/>
    </xf>
    <xf numFmtId="0" fontId="5" fillId="34" borderId="15" xfId="4" applyFill="1" applyBorder="1" applyAlignment="1" applyProtection="1">
      <alignment horizontal="right" vertical="center"/>
      <protection locked="0"/>
    </xf>
    <xf numFmtId="0" fontId="5" fillId="34" borderId="15" xfId="4" applyFill="1" applyBorder="1" applyAlignment="1" applyProtection="1">
      <alignment vertical="center"/>
      <protection locked="0"/>
    </xf>
    <xf numFmtId="0" fontId="83" fillId="34" borderId="54" xfId="4" applyFont="1" applyFill="1" applyBorder="1" applyAlignment="1" applyProtection="1">
      <alignment horizontal="left" vertical="center"/>
      <protection locked="0"/>
    </xf>
    <xf numFmtId="0" fontId="5" fillId="34" borderId="54" xfId="4" applyFill="1" applyBorder="1" applyAlignment="1" applyProtection="1">
      <alignment horizontal="left" vertical="center"/>
      <protection locked="0"/>
    </xf>
    <xf numFmtId="49" fontId="5" fillId="34" borderId="62" xfId="4" applyNumberFormat="1" applyFill="1" applyBorder="1" applyAlignment="1" applyProtection="1">
      <alignment horizontal="left" vertical="center" wrapText="1"/>
      <protection locked="0"/>
    </xf>
    <xf numFmtId="49" fontId="5" fillId="34" borderId="54" xfId="4" applyNumberFormat="1" applyFill="1" applyBorder="1" applyAlignment="1" applyProtection="1">
      <alignment horizontal="left" vertical="center" wrapText="1"/>
      <protection locked="0"/>
    </xf>
    <xf numFmtId="3" fontId="5" fillId="34" borderId="66" xfId="4" applyNumberFormat="1" applyFill="1" applyBorder="1" applyAlignment="1" applyProtection="1">
      <alignment horizontal="center" vertical="center"/>
      <protection locked="0"/>
    </xf>
    <xf numFmtId="0" fontId="68" fillId="0" borderId="23" xfId="4" applyFont="1" applyBorder="1" applyAlignment="1">
      <alignment horizontal="left" vertical="center" wrapText="1"/>
    </xf>
    <xf numFmtId="0" fontId="68" fillId="0" borderId="0" xfId="4" applyFont="1" applyAlignment="1">
      <alignment horizontal="left" vertical="center" wrapText="1"/>
    </xf>
    <xf numFmtId="49" fontId="5" fillId="0" borderId="54" xfId="4" applyNumberFormat="1" applyBorder="1" applyAlignment="1" applyProtection="1">
      <alignment horizontal="left" vertical="center"/>
      <protection locked="0"/>
    </xf>
    <xf numFmtId="3" fontId="5" fillId="34" borderId="63" xfId="4" applyNumberFormat="1" applyFill="1" applyBorder="1" applyAlignment="1" applyProtection="1">
      <alignment horizontal="right" vertical="center"/>
      <protection locked="0"/>
    </xf>
    <xf numFmtId="3" fontId="5" fillId="34" borderId="54" xfId="1" applyNumberFormat="1" applyFont="1" applyFill="1" applyBorder="1" applyAlignment="1" applyProtection="1">
      <alignment horizontal="right" vertical="center"/>
      <protection locked="0"/>
    </xf>
    <xf numFmtId="1" fontId="5" fillId="34" borderId="59" xfId="4" applyNumberFormat="1" applyFill="1" applyBorder="1" applyAlignment="1" applyProtection="1">
      <alignment horizontal="center" vertical="center"/>
      <protection locked="0"/>
    </xf>
    <xf numFmtId="1" fontId="5" fillId="34" borderId="60" xfId="4" applyNumberFormat="1" applyFill="1" applyBorder="1" applyAlignment="1" applyProtection="1">
      <alignment horizontal="center" vertical="center"/>
      <protection locked="0"/>
    </xf>
    <xf numFmtId="1" fontId="5" fillId="34" borderId="61" xfId="4" applyNumberFormat="1" applyFill="1" applyBorder="1" applyAlignment="1" applyProtection="1">
      <alignment horizontal="center" vertical="center"/>
      <protection locked="0"/>
    </xf>
    <xf numFmtId="0" fontId="163" fillId="0" borderId="0" xfId="4" applyFont="1" applyAlignment="1">
      <alignment horizontal="center" vertical="center"/>
    </xf>
    <xf numFmtId="0" fontId="5" fillId="0" borderId="50" xfId="4" applyBorder="1" applyAlignment="1">
      <alignment horizontal="center" vertical="center"/>
    </xf>
    <xf numFmtId="166" fontId="102" fillId="4" borderId="47" xfId="4" applyNumberFormat="1" applyFont="1" applyFill="1" applyBorder="1" applyAlignment="1">
      <alignment horizontal="right" vertical="center"/>
    </xf>
    <xf numFmtId="166" fontId="103" fillId="23" borderId="25" xfId="4" applyNumberFormat="1" applyFont="1" applyFill="1" applyBorder="1" applyAlignment="1" applyProtection="1">
      <alignment horizontal="right" vertical="center"/>
      <protection locked="0"/>
    </xf>
    <xf numFmtId="166" fontId="102" fillId="0" borderId="47" xfId="4" applyNumberFormat="1" applyFont="1" applyBorder="1" applyAlignment="1">
      <alignment horizontal="right" vertical="center"/>
    </xf>
    <xf numFmtId="3" fontId="102" fillId="23" borderId="25" xfId="4" applyNumberFormat="1" applyFont="1" applyFill="1" applyBorder="1" applyAlignment="1">
      <alignment horizontal="right" vertical="center"/>
    </xf>
    <xf numFmtId="0" fontId="148" fillId="9" borderId="0" xfId="4" applyFont="1" applyFill="1" applyAlignment="1">
      <alignment horizontal="center" vertical="center"/>
    </xf>
    <xf numFmtId="0" fontId="112" fillId="0" borderId="0" xfId="4" applyFont="1" applyAlignment="1">
      <alignment horizontal="justify" vertical="center" wrapText="1"/>
    </xf>
    <xf numFmtId="3" fontId="102" fillId="4" borderId="47" xfId="4" applyNumberFormat="1" applyFont="1" applyFill="1" applyBorder="1" applyAlignment="1">
      <alignment horizontal="right" vertical="center"/>
    </xf>
    <xf numFmtId="4" fontId="102" fillId="4" borderId="53" xfId="4" applyNumberFormat="1" applyFont="1" applyFill="1" applyBorder="1" applyAlignment="1">
      <alignment horizontal="right" vertical="center"/>
    </xf>
    <xf numFmtId="4" fontId="103" fillId="23" borderId="24" xfId="4" applyNumberFormat="1" applyFont="1" applyFill="1" applyBorder="1" applyAlignment="1" applyProtection="1">
      <alignment horizontal="right" vertical="center"/>
      <protection locked="0"/>
    </xf>
    <xf numFmtId="4" fontId="102" fillId="4" borderId="47" xfId="4" applyNumberFormat="1" applyFont="1" applyFill="1" applyBorder="1" applyAlignment="1">
      <alignment horizontal="right" vertical="center"/>
    </xf>
    <xf numFmtId="4" fontId="103" fillId="23" borderId="25" xfId="4" applyNumberFormat="1" applyFont="1" applyFill="1" applyBorder="1" applyAlignment="1" applyProtection="1">
      <alignment horizontal="right" vertical="center"/>
      <protection locked="0"/>
    </xf>
    <xf numFmtId="3" fontId="103" fillId="23" borderId="25" xfId="4" applyNumberFormat="1" applyFont="1" applyFill="1" applyBorder="1" applyAlignment="1">
      <alignment horizontal="right" vertical="center"/>
    </xf>
    <xf numFmtId="3" fontId="102" fillId="4" borderId="25" xfId="4" applyNumberFormat="1" applyFont="1" applyFill="1" applyBorder="1" applyAlignment="1">
      <alignment horizontal="right" vertical="center"/>
    </xf>
    <xf numFmtId="3" fontId="103" fillId="23" borderId="25" xfId="4" applyNumberFormat="1" applyFont="1" applyFill="1" applyBorder="1" applyAlignment="1" applyProtection="1">
      <alignment horizontal="right" vertical="center"/>
      <protection locked="0"/>
    </xf>
    <xf numFmtId="166" fontId="103" fillId="23" borderId="24" xfId="4" applyNumberFormat="1" applyFont="1" applyFill="1" applyBorder="1" applyAlignment="1" applyProtection="1">
      <alignment horizontal="right" vertical="center"/>
      <protection locked="0"/>
    </xf>
    <xf numFmtId="0" fontId="114" fillId="0" borderId="0" xfId="4" applyFont="1" applyAlignment="1">
      <alignment vertical="center" wrapText="1"/>
    </xf>
    <xf numFmtId="166" fontId="105" fillId="24" borderId="9" xfId="4" applyNumberFormat="1" applyFont="1" applyFill="1" applyBorder="1" applyAlignment="1">
      <alignment horizontal="right" vertical="center"/>
    </xf>
    <xf numFmtId="0" fontId="16" fillId="0" borderId="0" xfId="4" applyFont="1" applyAlignment="1">
      <alignment horizontal="left" vertical="center" wrapText="1"/>
    </xf>
    <xf numFmtId="0" fontId="16" fillId="0" borderId="9" xfId="4" applyFont="1" applyBorder="1" applyAlignment="1">
      <alignment horizontal="left" vertical="center" wrapText="1"/>
    </xf>
    <xf numFmtId="3" fontId="103" fillId="23" borderId="53" xfId="4" applyNumberFormat="1" applyFont="1" applyFill="1" applyBorder="1" applyAlignment="1" applyProtection="1">
      <alignment horizontal="right" vertical="center"/>
      <protection locked="0"/>
    </xf>
    <xf numFmtId="3" fontId="103" fillId="23" borderId="29" xfId="4" applyNumberFormat="1" applyFont="1" applyFill="1" applyBorder="1" applyAlignment="1" applyProtection="1">
      <alignment horizontal="right" vertical="center"/>
      <protection locked="0"/>
    </xf>
    <xf numFmtId="166" fontId="103" fillId="0" borderId="47" xfId="4" quotePrefix="1" applyNumberFormat="1" applyFont="1" applyBorder="1" applyAlignment="1" applyProtection="1">
      <alignment horizontal="right" vertical="center"/>
      <protection locked="0"/>
    </xf>
    <xf numFmtId="166" fontId="103" fillId="0" borderId="47" xfId="4" applyNumberFormat="1" applyFont="1" applyBorder="1" applyAlignment="1" applyProtection="1">
      <alignment horizontal="right" vertical="center"/>
      <protection locked="0"/>
    </xf>
    <xf numFmtId="4" fontId="105" fillId="6" borderId="24" xfId="4" applyNumberFormat="1" applyFont="1" applyFill="1" applyBorder="1" applyAlignment="1">
      <alignment horizontal="right" vertical="center"/>
    </xf>
    <xf numFmtId="4" fontId="105" fillId="6" borderId="25" xfId="4" applyNumberFormat="1" applyFont="1" applyFill="1" applyBorder="1" applyAlignment="1">
      <alignment horizontal="right" vertical="center"/>
    </xf>
    <xf numFmtId="0" fontId="12" fillId="0" borderId="0" xfId="4" applyFont="1" applyAlignment="1">
      <alignment vertical="center" wrapText="1"/>
    </xf>
    <xf numFmtId="0" fontId="123" fillId="0" borderId="0" xfId="4" applyFont="1" applyAlignment="1">
      <alignment vertical="center" wrapText="1"/>
    </xf>
    <xf numFmtId="0" fontId="98" fillId="0" borderId="23" xfId="4" applyFont="1" applyBorder="1" applyAlignment="1">
      <alignment vertical="center" wrapText="1"/>
    </xf>
    <xf numFmtId="0" fontId="98" fillId="0" borderId="0" xfId="4" applyFont="1" applyAlignment="1">
      <alignment vertical="center" wrapText="1"/>
    </xf>
    <xf numFmtId="0" fontId="98" fillId="0" borderId="9" xfId="4" applyFont="1" applyBorder="1" applyAlignment="1">
      <alignment vertical="center" wrapText="1"/>
    </xf>
    <xf numFmtId="3" fontId="102" fillId="4" borderId="22" xfId="4" applyNumberFormat="1" applyFont="1" applyFill="1" applyBorder="1" applyAlignment="1">
      <alignment horizontal="right" vertical="center"/>
    </xf>
    <xf numFmtId="3" fontId="102" fillId="23" borderId="24" xfId="4" applyNumberFormat="1" applyFont="1" applyFill="1" applyBorder="1" applyAlignment="1">
      <alignment horizontal="right" vertical="center"/>
    </xf>
    <xf numFmtId="2" fontId="16" fillId="0" borderId="0" xfId="4" applyNumberFormat="1" applyFont="1" applyAlignment="1">
      <alignment horizontal="left" vertical="center" wrapText="1"/>
    </xf>
    <xf numFmtId="0" fontId="16" fillId="0" borderId="0" xfId="4" applyFont="1" applyAlignment="1">
      <alignment horizontal="right" vertical="center"/>
    </xf>
    <xf numFmtId="3" fontId="105" fillId="24" borderId="16" xfId="4" applyNumberFormat="1" applyFont="1" applyFill="1" applyBorder="1" applyAlignment="1">
      <alignment horizontal="right" vertical="center"/>
    </xf>
    <xf numFmtId="166" fontId="105" fillId="24" borderId="16" xfId="4" applyNumberFormat="1" applyFont="1" applyFill="1" applyBorder="1" applyAlignment="1">
      <alignment horizontal="right" vertical="center"/>
    </xf>
    <xf numFmtId="3" fontId="105" fillId="6" borderId="25" xfId="4" applyNumberFormat="1" applyFont="1" applyFill="1" applyBorder="1" applyAlignment="1">
      <alignment horizontal="right" vertical="center"/>
    </xf>
    <xf numFmtId="0" fontId="141" fillId="0" borderId="13" xfId="4" applyFont="1" applyBorder="1" applyAlignment="1">
      <alignment horizontal="left" vertical="center" wrapText="1"/>
    </xf>
    <xf numFmtId="0" fontId="141" fillId="0" borderId="9" xfId="4" applyFont="1" applyBorder="1" applyAlignment="1">
      <alignment horizontal="left" vertical="center" wrapText="1"/>
    </xf>
    <xf numFmtId="166" fontId="103" fillId="23" borderId="29" xfId="4" applyNumberFormat="1" applyFont="1" applyFill="1" applyBorder="1" applyAlignment="1" applyProtection="1">
      <alignment horizontal="right" vertical="center"/>
      <protection locked="0"/>
    </xf>
    <xf numFmtId="166" fontId="144" fillId="24" borderId="9" xfId="4" applyNumberFormat="1" applyFont="1" applyFill="1" applyBorder="1" applyAlignment="1">
      <alignment horizontal="right" vertical="center"/>
    </xf>
    <xf numFmtId="166" fontId="105" fillId="6" borderId="24" xfId="4" applyNumberFormat="1" applyFont="1" applyFill="1" applyBorder="1" applyAlignment="1">
      <alignment horizontal="right" vertical="center"/>
    </xf>
    <xf numFmtId="166" fontId="105" fillId="6" borderId="25" xfId="4" applyNumberFormat="1" applyFont="1" applyFill="1" applyBorder="1" applyAlignment="1">
      <alignment horizontal="right" vertical="center"/>
    </xf>
    <xf numFmtId="166" fontId="102" fillId="4" borderId="53" xfId="4" applyNumberFormat="1" applyFont="1" applyFill="1" applyBorder="1" applyAlignment="1">
      <alignment horizontal="right" vertical="center"/>
    </xf>
    <xf numFmtId="166" fontId="105" fillId="6" borderId="0" xfId="4" applyNumberFormat="1" applyFont="1" applyFill="1" applyAlignment="1">
      <alignment horizontal="right" vertical="center"/>
    </xf>
    <xf numFmtId="3" fontId="102" fillId="4" borderId="22" xfId="4" quotePrefix="1" applyNumberFormat="1" applyFont="1" applyFill="1" applyBorder="1" applyAlignment="1">
      <alignment horizontal="right" vertical="center"/>
    </xf>
    <xf numFmtId="3" fontId="102" fillId="4" borderId="47" xfId="4" quotePrefix="1" applyNumberFormat="1" applyFont="1" applyFill="1" applyBorder="1" applyAlignment="1">
      <alignment horizontal="right" vertical="center"/>
    </xf>
    <xf numFmtId="0" fontId="148" fillId="28" borderId="0" xfId="4" applyFont="1" applyFill="1" applyAlignment="1">
      <alignment horizontal="center" vertical="center"/>
    </xf>
    <xf numFmtId="0" fontId="148" fillId="29" borderId="0" xfId="4" applyFont="1" applyFill="1" applyAlignment="1">
      <alignment horizontal="center" vertical="center"/>
    </xf>
    <xf numFmtId="2" fontId="17" fillId="7" borderId="47" xfId="4" applyNumberFormat="1" applyFont="1" applyFill="1" applyBorder="1" applyAlignment="1">
      <alignment vertical="center"/>
    </xf>
    <xf numFmtId="0" fontId="16" fillId="0" borderId="21" xfId="4" applyFont="1" applyBorder="1" applyAlignment="1">
      <alignment horizontal="center" vertical="center" wrapText="1"/>
    </xf>
    <xf numFmtId="0" fontId="16" fillId="0" borderId="22" xfId="4" applyFont="1" applyBorder="1" applyAlignment="1">
      <alignment horizontal="center" vertical="center" wrapText="1"/>
    </xf>
    <xf numFmtId="0" fontId="149" fillId="3" borderId="0" xfId="4" quotePrefix="1" applyFont="1" applyFill="1" applyAlignment="1">
      <alignment horizontal="left" vertical="center"/>
    </xf>
    <xf numFmtId="0" fontId="149" fillId="3" borderId="0" xfId="4" applyFont="1" applyFill="1" applyAlignment="1">
      <alignment horizontal="left" vertical="center"/>
    </xf>
    <xf numFmtId="0" fontId="149" fillId="0" borderId="23" xfId="4" quotePrefix="1" applyFont="1" applyBorder="1" applyAlignment="1">
      <alignment horizontal="left" vertical="center"/>
    </xf>
    <xf numFmtId="0" fontId="149" fillId="0" borderId="23" xfId="4" applyFont="1" applyBorder="1" applyAlignment="1">
      <alignment horizontal="left" vertical="center"/>
    </xf>
    <xf numFmtId="0" fontId="149" fillId="0" borderId="0" xfId="4" applyFont="1" applyAlignment="1">
      <alignment horizontal="left" vertical="center"/>
    </xf>
    <xf numFmtId="0" fontId="149" fillId="0" borderId="14" xfId="4" applyFont="1" applyBorder="1" applyAlignment="1">
      <alignment horizontal="left" vertical="center"/>
    </xf>
    <xf numFmtId="0" fontId="151" fillId="9" borderId="75" xfId="4" applyFont="1" applyFill="1" applyBorder="1" applyAlignment="1">
      <alignment horizontal="center" vertical="center"/>
    </xf>
    <xf numFmtId="0" fontId="151" fillId="9" borderId="76" xfId="4" applyFont="1" applyFill="1" applyBorder="1" applyAlignment="1">
      <alignment horizontal="center" vertical="center"/>
    </xf>
    <xf numFmtId="0" fontId="151" fillId="9" borderId="73" xfId="4" applyFont="1" applyFill="1" applyBorder="1" applyAlignment="1">
      <alignment horizontal="center" vertical="center"/>
    </xf>
    <xf numFmtId="0" fontId="151" fillId="9" borderId="74" xfId="4" applyFont="1" applyFill="1" applyBorder="1" applyAlignment="1">
      <alignment horizontal="center" vertical="center"/>
    </xf>
    <xf numFmtId="0" fontId="17" fillId="0" borderId="21" xfId="4" applyFont="1" applyBorder="1" applyAlignment="1">
      <alignment vertical="center"/>
    </xf>
    <xf numFmtId="0" fontId="17" fillId="0" borderId="22" xfId="4" applyFont="1" applyBorder="1" applyAlignment="1">
      <alignment vertical="center"/>
    </xf>
    <xf numFmtId="0" fontId="44" fillId="0" borderId="0" xfId="4" applyFont="1" applyAlignment="1">
      <alignment horizontal="left" vertical="center"/>
    </xf>
    <xf numFmtId="14" fontId="16" fillId="0" borderId="0" xfId="2" applyNumberFormat="1" applyFont="1" applyAlignment="1">
      <alignment horizontal="center" vertical="center"/>
    </xf>
    <xf numFmtId="14" fontId="17" fillId="0" borderId="0" xfId="2" applyNumberFormat="1" applyFont="1" applyAlignment="1">
      <alignment horizontal="center" vertical="center"/>
    </xf>
    <xf numFmtId="0" fontId="151" fillId="28" borderId="23" xfId="4" applyFont="1" applyFill="1" applyBorder="1" applyAlignment="1">
      <alignment horizontal="center" vertical="center"/>
    </xf>
    <xf numFmtId="0" fontId="151" fillId="28" borderId="0" xfId="4" applyFont="1" applyFill="1" applyAlignment="1">
      <alignment horizontal="center" vertical="center"/>
    </xf>
    <xf numFmtId="0" fontId="151" fillId="29" borderId="75" xfId="4" applyFont="1" applyFill="1" applyBorder="1" applyAlignment="1">
      <alignment horizontal="center" vertical="center"/>
    </xf>
    <xf numFmtId="0" fontId="151" fillId="29" borderId="76" xfId="4" applyFont="1" applyFill="1" applyBorder="1" applyAlignment="1">
      <alignment horizontal="center" vertical="center"/>
    </xf>
    <xf numFmtId="0" fontId="151" fillId="29" borderId="73" xfId="4" applyFont="1" applyFill="1" applyBorder="1" applyAlignment="1">
      <alignment horizontal="center" vertical="center"/>
    </xf>
    <xf numFmtId="0" fontId="151" fillId="29" borderId="74" xfId="4" applyFont="1" applyFill="1" applyBorder="1" applyAlignment="1">
      <alignment horizontal="center" vertical="center"/>
    </xf>
    <xf numFmtId="0" fontId="15" fillId="9" borderId="0" xfId="4" applyFont="1" applyFill="1" applyAlignment="1">
      <alignment horizontal="center" vertical="center"/>
    </xf>
    <xf numFmtId="14" fontId="17" fillId="0" borderId="0" xfId="4" applyNumberFormat="1" applyFont="1" applyAlignment="1">
      <alignment horizontal="center" vertical="center"/>
    </xf>
    <xf numFmtId="0" fontId="17" fillId="9" borderId="0" xfId="4" applyFont="1" applyFill="1" applyAlignment="1">
      <alignment vertical="center" wrapText="1"/>
    </xf>
    <xf numFmtId="0" fontId="17" fillId="0" borderId="47" xfId="4" applyFont="1" applyBorder="1" applyAlignment="1">
      <alignment vertical="center"/>
    </xf>
    <xf numFmtId="0" fontId="39" fillId="0" borderId="0" xfId="4" applyFont="1" applyAlignment="1">
      <alignment vertical="center"/>
    </xf>
  </cellXfs>
  <cellStyles count="10">
    <cellStyle name="Komma" xfId="1" builtinId="3"/>
    <cellStyle name="Standard" xfId="0" builtinId="0"/>
    <cellStyle name="Standard 2" xfId="8" xr:uid="{B9CBFA7C-C193-4991-B03E-AF2805B6764E}"/>
    <cellStyle name="Standard 3" xfId="9" xr:uid="{480A3AB1-3B47-452C-A16A-95DE2EFAE458}"/>
    <cellStyle name="Standard_1-2 Kapazität Brose" xfId="2" xr:uid="{00000000-0005-0000-0000-000003000000}"/>
    <cellStyle name="Standard_1-2 Kapazität Brose 1.0" xfId="3" xr:uid="{00000000-0005-0000-0000-000004000000}"/>
    <cellStyle name="Standard_Arb.Stanzteilepreis" xfId="4" xr:uid="{00000000-0005-0000-0000-000005000000}"/>
    <cellStyle name="Standard_BESPRLI" xfId="5" xr:uid="{00000000-0005-0000-0000-000006000000}"/>
    <cellStyle name="Standard_Checkliste Prozessaufnahme Spritzguss" xfId="6" xr:uid="{00000000-0005-0000-0000-000007000000}"/>
    <cellStyle name="Standard_Teilepreisberechnung" xfId="7" xr:uid="{00000000-0005-0000-0000-000008000000}"/>
  </cellStyles>
  <dxfs count="318">
    <dxf>
      <font>
        <color rgb="FFC00000"/>
      </font>
      <fill>
        <patternFill>
          <bgColor theme="6" tint="0.79998168889431442"/>
        </patternFill>
      </fill>
    </dxf>
    <dxf>
      <font>
        <color rgb="FFC00000"/>
      </font>
      <fill>
        <patternFill>
          <bgColor theme="6" tint="0.7999816888943144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10"/>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ont>
        <color theme="1"/>
      </font>
      <fill>
        <patternFill>
          <bgColor rgb="FFFFC00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10"/>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ont>
        <color theme="1"/>
      </font>
      <fill>
        <patternFill>
          <bgColor rgb="FFFFC00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10"/>
        </patternFill>
      </fill>
    </dxf>
    <dxf>
      <fill>
        <patternFill>
          <bgColor indexed="10"/>
        </patternFill>
      </fill>
    </dxf>
    <dxf>
      <fill>
        <patternFill>
          <bgColor indexed="51"/>
        </patternFill>
      </fill>
    </dxf>
    <dxf>
      <fill>
        <patternFill>
          <bgColor indexed="17"/>
        </patternFill>
      </fill>
    </dxf>
    <dxf>
      <fill>
        <patternFill>
          <bgColor indexed="10"/>
        </patternFill>
      </fill>
    </dxf>
    <dxf>
      <fill>
        <patternFill>
          <bgColor indexed="51"/>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ill>
        <patternFill>
          <bgColor indexed="51"/>
        </patternFill>
      </fill>
    </dxf>
    <dxf>
      <fill>
        <patternFill>
          <bgColor indexed="10"/>
        </patternFill>
      </fill>
    </dxf>
    <dxf>
      <fill>
        <patternFill>
          <bgColor indexed="17"/>
        </patternFill>
      </fill>
    </dxf>
    <dxf>
      <font>
        <color theme="1"/>
      </font>
      <fill>
        <patternFill>
          <bgColor rgb="FFFFC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auto="1"/>
      </font>
    </dxf>
    <dxf>
      <font>
        <color auto="1"/>
      </font>
    </dxf>
    <dxf>
      <numFmt numFmtId="167" formatCode="0.0"/>
    </dxf>
    <dxf>
      <numFmt numFmtId="2" formatCode="0.00"/>
    </dxf>
    <dxf>
      <numFmt numFmtId="166" formatCode="#,##0.0"/>
    </dxf>
    <dxf>
      <font>
        <color auto="1"/>
      </font>
    </dxf>
    <dxf>
      <font>
        <color auto="1"/>
      </font>
    </dxf>
    <dxf>
      <font>
        <color auto="1"/>
      </font>
    </dxf>
    <dxf>
      <font>
        <color auto="1"/>
      </font>
    </dxf>
    <dxf>
      <font>
        <color auto="1"/>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auto="1"/>
      </font>
      <fill>
        <patternFill>
          <bgColor rgb="FFFFFF99"/>
        </patternFill>
      </fill>
    </dxf>
    <dxf>
      <font>
        <color rgb="FFC00000"/>
      </font>
    </dxf>
    <dxf>
      <font>
        <color auto="1"/>
      </font>
      <fill>
        <patternFill>
          <bgColor rgb="FFFFFF99"/>
        </patternFill>
      </fill>
    </dxf>
    <dxf>
      <font>
        <color rgb="FFC00000"/>
      </font>
    </dxf>
    <dxf>
      <font>
        <color theme="0" tint="-0.34998626667073579"/>
      </font>
    </dxf>
    <dxf>
      <font>
        <color theme="8" tint="-0.499984740745262"/>
      </font>
      <fill>
        <patternFill>
          <bgColor theme="8" tint="0.59996337778862885"/>
        </patternFill>
      </fill>
    </dxf>
    <dxf>
      <font>
        <color theme="0"/>
      </font>
      <fill>
        <patternFill>
          <bgColor theme="8" tint="-0.24994659260841701"/>
        </patternFill>
      </fill>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ill>
        <patternFill>
          <bgColor indexed="10"/>
        </patternFill>
      </fill>
    </dxf>
    <dxf>
      <fill>
        <patternFill>
          <bgColor indexed="51"/>
        </patternFill>
      </fill>
    </dxf>
    <dxf>
      <fill>
        <patternFill>
          <bgColor indexed="17"/>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8" tint="-0.499984740745262"/>
      </font>
      <fill>
        <patternFill>
          <bgColor theme="8" tint="0.59996337778862885"/>
        </patternFill>
      </fill>
    </dxf>
    <dxf>
      <font>
        <color theme="0"/>
      </font>
      <fill>
        <patternFill>
          <bgColor theme="8" tint="-0.24994659260841701"/>
        </patternFill>
      </fill>
    </dxf>
    <dxf>
      <font>
        <color theme="8" tint="-0.499984740745262"/>
      </font>
      <fill>
        <patternFill>
          <bgColor theme="8" tint="0.59996337778862885"/>
        </patternFill>
      </fill>
    </dxf>
    <dxf>
      <font>
        <color theme="0"/>
      </font>
      <fill>
        <patternFill>
          <bgColor theme="8" tint="-0.24994659260841701"/>
        </patternFill>
      </fill>
    </dxf>
    <dxf>
      <font>
        <color theme="8" tint="-0.499984740745262"/>
      </font>
      <fill>
        <patternFill>
          <bgColor theme="8" tint="0.59996337778862885"/>
        </patternFill>
      </fill>
    </dxf>
    <dxf>
      <font>
        <color theme="0"/>
      </font>
      <fill>
        <patternFill>
          <bgColor theme="8" tint="-0.24994659260841701"/>
        </patternFill>
      </fill>
    </dxf>
    <dxf>
      <font>
        <color theme="8" tint="-0.499984740745262"/>
      </font>
      <fill>
        <patternFill>
          <bgColor theme="8" tint="0.59996337778862885"/>
        </patternFill>
      </fill>
    </dxf>
    <dxf>
      <font>
        <color theme="0"/>
      </font>
      <fill>
        <patternFill>
          <bgColor theme="8" tint="-0.24994659260841701"/>
        </patternFill>
      </fill>
    </dxf>
    <dxf>
      <font>
        <color auto="1"/>
      </font>
      <fill>
        <patternFill>
          <bgColor rgb="FFFFFF99"/>
        </patternFill>
      </fill>
    </dxf>
    <dxf>
      <font>
        <color rgb="FFC00000"/>
      </font>
    </dxf>
    <dxf>
      <fill>
        <patternFill>
          <bgColor rgb="FFFFC000"/>
        </patternFill>
      </fill>
    </dxf>
    <dxf>
      <fill>
        <patternFill>
          <bgColor rgb="FFFFC000"/>
        </patternFill>
      </fill>
    </dxf>
    <dxf>
      <fill>
        <patternFill>
          <bgColor rgb="FFFFC000"/>
        </patternFill>
      </fill>
    </dxf>
    <dxf>
      <font>
        <color theme="8" tint="-0.499984740745262"/>
      </font>
      <fill>
        <patternFill>
          <bgColor theme="8" tint="0.59996337778862885"/>
        </patternFill>
      </fill>
    </dxf>
    <dxf>
      <font>
        <color theme="0"/>
      </font>
      <fill>
        <patternFill>
          <bgColor theme="8" tint="-0.2499465926084170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66FF66"/>
      <rgbColor rgb="000000FF"/>
      <rgbColor rgb="00FFFFCC"/>
      <rgbColor rgb="00FF00FF"/>
      <rgbColor rgb="0066FFFF"/>
      <rgbColor rgb="00800000"/>
      <rgbColor rgb="00008000"/>
      <rgbColor rgb="00000080"/>
      <rgbColor rgb="00808000"/>
      <rgbColor rgb="00800080"/>
      <rgbColor rgb="00008080"/>
      <rgbColor rgb="00DDDDDD"/>
      <rgbColor rgb="00969696"/>
      <rgbColor rgb="009999FF"/>
      <rgbColor rgb="00993366"/>
      <rgbColor rgb="00FFFFCC"/>
      <rgbColor rgb="00DDDDDD"/>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CC"/>
      <rgbColor rgb="0099CCFF"/>
      <rgbColor rgb="00FF99CC"/>
      <rgbColor rgb="00EAEAEA"/>
      <rgbColor rgb="00FFCC99"/>
      <rgbColor rgb="003366FF"/>
      <rgbColor rgb="0033CCCC"/>
      <rgbColor rgb="0099CC00"/>
      <rgbColor rgb="00FFCC00"/>
      <rgbColor rgb="00FF9900"/>
      <rgbColor rgb="00FF6600"/>
      <rgbColor rgb="00666699"/>
      <rgbColor rgb="00C0C0C0"/>
      <rgbColor rgb="00003366"/>
      <rgbColor rgb="00339966"/>
      <rgbColor rgb="00003300"/>
      <rgbColor rgb="00333300"/>
      <rgbColor rgb="00993300"/>
      <rgbColor rgb="00993366"/>
      <rgbColor rgb="00333399"/>
      <rgbColor rgb="00333333"/>
    </indexedColors>
    <mruColors>
      <color rgb="FFFFFFCC"/>
      <color rgb="FFFDF3C7"/>
      <color rgb="FFFCECAA"/>
      <color rgb="FFFBDF79"/>
      <color rgb="FFF3E2B3"/>
      <color rgb="FFFCE79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1.xml"/></Relationships>
</file>

<file path=xl/ctrlProps/ctrlProp1.xml><?xml version="1.0" encoding="utf-8"?>
<formControlPr xmlns="http://schemas.microsoft.com/office/spreadsheetml/2009/9/main" objectType="Drop" dropStyle="combo" dx="16" fmlaLink="'4 Language'!$B$2" fmlaRange="'4 Language'!$D$4:$D$7" noThreeD="1" sel="1" val="0"/>
</file>

<file path=xl/ctrlProps/ctrlProp2.xml><?xml version="1.0" encoding="utf-8"?>
<formControlPr xmlns="http://schemas.microsoft.com/office/spreadsheetml/2009/9/main" objectType="Drop" dropLines="4" dropStyle="combo" dx="16" fmlaLink="$AI$166" fmlaRange="$AJ$166:$AJ$169" noThreeD="1" sel="1" val="0"/>
</file>

<file path=xl/ctrlProps/ctrlProp3.xml><?xml version="1.0" encoding="utf-8"?>
<formControlPr xmlns="http://schemas.microsoft.com/office/spreadsheetml/2009/9/main" objectType="Drop" dropLines="3" dropStyle="combo" dx="16" fmlaLink="$AI$11" fmlaRange="$AJ$11:$AJ$13" noThreeD="1" sel="1" val="0"/>
</file>

<file path=xl/ctrlProps/ctrlProp4.xml><?xml version="1.0" encoding="utf-8"?>
<formControlPr xmlns="http://schemas.microsoft.com/office/spreadsheetml/2009/9/main" objectType="Drop" dropLines="15" dropStyle="combo" dx="16" fmlaLink="'1 Injection molding 2K . 3K'!$AI$18" fmlaRange="'3 Selection fields'!$V$16:$V$68" noThreeD="1" sel="1" val="0"/>
</file>

<file path=xl/ctrlProps/ctrlProp5.xml><?xml version="1.0" encoding="utf-8"?>
<formControlPr xmlns="http://schemas.microsoft.com/office/spreadsheetml/2009/9/main" objectType="Drop" dropLines="15" dropStyle="combo" dx="16" fmlaLink="'1 Injection molding 2K . 3K'!$AI$21" fmlaRange="'3 Selection fields'!$B$16:$B$20" noThreeD="1" sel="5" val="0"/>
</file>

<file path=xl/ctrlProps/ctrlProp6.xml><?xml version="1.0" encoding="utf-8"?>
<formControlPr xmlns="http://schemas.microsoft.com/office/spreadsheetml/2009/9/main" objectType="Drop" dropLines="15" dropStyle="combo" dx="16" fmlaLink="'1 Injection molding 2K . 3K'!$AI$19" fmlaRange="'3 Selection fields'!$V$16:$V$68" noThreeD="1" sel="1" val="0"/>
</file>

<file path=xl/ctrlProps/ctrlProp7.xml><?xml version="1.0" encoding="utf-8"?>
<formControlPr xmlns="http://schemas.microsoft.com/office/spreadsheetml/2009/9/main" objectType="Drop" dropLines="15" dropStyle="combo" dx="16" fmlaLink="'1 Injection molding 2K . 3K'!$AI$20" fmlaRange="'3 Selection fields'!$V$16:$V$68" noThreeD="1" sel="1" val="0"/>
</file>

<file path=xl/ctrlProps/ctrlProp8.xml><?xml version="1.0" encoding="utf-8"?>
<formControlPr xmlns="http://schemas.microsoft.com/office/spreadsheetml/2009/9/main" objectType="Drop" dropLines="7" dropStyle="combo" dx="16" fmlaLink="'1 Injection molding 2K . 3K'!$AI$16" fmlaRange="'3 Selection fields'!$D$16:$D$21" noThreeD="1" sel="1" val="0"/>
</file>

<file path=xl/ctrlProps/ctrlProp9.xml><?xml version="1.0" encoding="utf-8"?>
<formControlPr xmlns="http://schemas.microsoft.com/office/spreadsheetml/2009/9/main" objectType="Drop" dropLines="15" dropStyle="combo" dx="16" fmlaLink="'1 Injection molding 2K . 3K'!$AI$17" fmlaRange="'3 Selection fields'!$H$16:$H$30" noThreeD="1" sel="1" val="0"/>
</file>

<file path=xl/ctrlProps/ctrlProp10.xml><?xml version="1.0" encoding="utf-8"?>
<formControlPr xmlns="http://schemas.microsoft.com/office/spreadsheetml/2009/9/main" objectType="CheckBox" fmlaLink="$AL$80" lockText="1" noThreeD="1"/>
</file>

<file path=xl/ctrlProps/ctrlProp11.xml><?xml version="1.0" encoding="utf-8"?>
<formControlPr xmlns="http://schemas.microsoft.com/office/spreadsheetml/2009/9/main" objectType="CheckBox" fmlaLink="$AK$80" lockText="1" noThreeD="1"/>
</file>

<file path=xl/ctrlProps/ctrlProp12.xml><?xml version="1.0" encoding="utf-8"?>
<formControlPr xmlns="http://schemas.microsoft.com/office/spreadsheetml/2009/9/main" objectType="CheckBox" fmlaLink="$AL$81" lockText="1" noThreeD="1"/>
</file>

<file path=xl/ctrlProps/ctrlProp13.xml><?xml version="1.0" encoding="utf-8"?>
<formControlPr xmlns="http://schemas.microsoft.com/office/spreadsheetml/2009/9/main" objectType="CheckBox" fmlaLink="$AK$81" lockText="1" noThreeD="1"/>
</file>

<file path=xl/ctrlProps/ctrlProp14.xml><?xml version="1.0" encoding="utf-8"?>
<formControlPr xmlns="http://schemas.microsoft.com/office/spreadsheetml/2009/9/main" objectType="CheckBox" fmlaLink="$AL$82" lockText="1" noThreeD="1"/>
</file>

<file path=xl/ctrlProps/ctrlProp15.xml><?xml version="1.0" encoding="utf-8"?>
<formControlPr xmlns="http://schemas.microsoft.com/office/spreadsheetml/2009/9/main" objectType="CheckBox" fmlaLink="$AK$82" lockText="1" noThreeD="1"/>
</file>

<file path=xl/ctrlProps/ctrlProp16.xml><?xml version="1.0" encoding="utf-8"?>
<formControlPr xmlns="http://schemas.microsoft.com/office/spreadsheetml/2009/9/main" objectType="CheckBox" fmlaLink="$AL$83" lockText="1" noThreeD="1"/>
</file>

<file path=xl/ctrlProps/ctrlProp17.xml><?xml version="1.0" encoding="utf-8"?>
<formControlPr xmlns="http://schemas.microsoft.com/office/spreadsheetml/2009/9/main" objectType="CheckBox" fmlaLink="$AK$83" lockText="1" noThreeD="1"/>
</file>

<file path=xl/ctrlProps/ctrlProp18.xml><?xml version="1.0" encoding="utf-8"?>
<formControlPr xmlns="http://schemas.microsoft.com/office/spreadsheetml/2009/9/main" objectType="CheckBox" fmlaLink="$AL$84" lockText="1" noThreeD="1"/>
</file>

<file path=xl/ctrlProps/ctrlProp19.xml><?xml version="1.0" encoding="utf-8"?>
<formControlPr xmlns="http://schemas.microsoft.com/office/spreadsheetml/2009/9/main" objectType="CheckBox" fmlaLink="$AK$84" lockText="1" noThreeD="1"/>
</file>

<file path=xl/ctrlProps/ctrlProp20.xml><?xml version="1.0" encoding="utf-8"?>
<formControlPr xmlns="http://schemas.microsoft.com/office/spreadsheetml/2009/9/main" objectType="CheckBox" fmlaLink="$AL$85" lockText="1" noThreeD="1"/>
</file>

<file path=xl/ctrlProps/ctrlProp21.xml><?xml version="1.0" encoding="utf-8"?>
<formControlPr xmlns="http://schemas.microsoft.com/office/spreadsheetml/2009/9/main" objectType="CheckBox" fmlaLink="$AK$85" lockText="1" noThreeD="1"/>
</file>

<file path=xl/ctrlProps/ctrlProp22.xml><?xml version="1.0" encoding="utf-8"?>
<formControlPr xmlns="http://schemas.microsoft.com/office/spreadsheetml/2009/9/main" objectType="CheckBox" fmlaLink="$AL$91" lockText="1" noThreeD="1"/>
</file>

<file path=xl/ctrlProps/ctrlProp23.xml><?xml version="1.0" encoding="utf-8"?>
<formControlPr xmlns="http://schemas.microsoft.com/office/spreadsheetml/2009/9/main" objectType="CheckBox" fmlaLink="$AK$91" lockText="1" noThreeD="1"/>
</file>

<file path=xl/ctrlProps/ctrlProp24.xml><?xml version="1.0" encoding="utf-8"?>
<formControlPr xmlns="http://schemas.microsoft.com/office/spreadsheetml/2009/9/main" objectType="CheckBox" fmlaLink="$AL$92" lockText="1" noThreeD="1"/>
</file>

<file path=xl/ctrlProps/ctrlProp25.xml><?xml version="1.0" encoding="utf-8"?>
<formControlPr xmlns="http://schemas.microsoft.com/office/spreadsheetml/2009/9/main" objectType="CheckBox" fmlaLink="$AK$92" lockText="1" noThreeD="1"/>
</file>

<file path=xl/ctrlProps/ctrlProp26.xml><?xml version="1.0" encoding="utf-8"?>
<formControlPr xmlns="http://schemas.microsoft.com/office/spreadsheetml/2009/9/main" objectType="CheckBox" fmlaLink="$AL$93" lockText="1" noThreeD="1"/>
</file>

<file path=xl/ctrlProps/ctrlProp27.xml><?xml version="1.0" encoding="utf-8"?>
<formControlPr xmlns="http://schemas.microsoft.com/office/spreadsheetml/2009/9/main" objectType="CheckBox" fmlaLink="$AK$93" lockText="1" noThreeD="1"/>
</file>

<file path=xl/ctrlProps/ctrlProp28.xml><?xml version="1.0" encoding="utf-8"?>
<formControlPr xmlns="http://schemas.microsoft.com/office/spreadsheetml/2009/9/main" objectType="CheckBox" fmlaLink="$AL$94" lockText="1" noThreeD="1"/>
</file>

<file path=xl/ctrlProps/ctrlProp29.xml><?xml version="1.0" encoding="utf-8"?>
<formControlPr xmlns="http://schemas.microsoft.com/office/spreadsheetml/2009/9/main" objectType="CheckBox" fmlaLink="$AK$94" lockText="1" noThreeD="1"/>
</file>

<file path=xl/ctrlProps/ctrlProp30.xml><?xml version="1.0" encoding="utf-8"?>
<formControlPr xmlns="http://schemas.microsoft.com/office/spreadsheetml/2009/9/main" objectType="CheckBox" fmlaLink="$AL$95" lockText="1" noThreeD="1"/>
</file>

<file path=xl/ctrlProps/ctrlProp31.xml><?xml version="1.0" encoding="utf-8"?>
<formControlPr xmlns="http://schemas.microsoft.com/office/spreadsheetml/2009/9/main" objectType="CheckBox" fmlaLink="$AK$95" lockText="1" noThreeD="1"/>
</file>

<file path=xl/ctrlProps/ctrlProp32.xml><?xml version="1.0" encoding="utf-8"?>
<formControlPr xmlns="http://schemas.microsoft.com/office/spreadsheetml/2009/9/main" objectType="CheckBox" fmlaLink="$AL$96" lockText="1" noThreeD="1"/>
</file>

<file path=xl/ctrlProps/ctrlProp33.xml><?xml version="1.0" encoding="utf-8"?>
<formControlPr xmlns="http://schemas.microsoft.com/office/spreadsheetml/2009/9/main" objectType="CheckBox" fmlaLink="$AK$96" lockText="1" noThreeD="1"/>
</file>

<file path=xl/ctrlProps/ctrlProp34.xml><?xml version="1.0" encoding="utf-8"?>
<formControlPr xmlns="http://schemas.microsoft.com/office/spreadsheetml/2009/9/main" objectType="CheckBox" fmlaLink="$AL$97" lockText="1" noThreeD="1"/>
</file>

<file path=xl/ctrlProps/ctrlProp35.xml><?xml version="1.0" encoding="utf-8"?>
<formControlPr xmlns="http://schemas.microsoft.com/office/spreadsheetml/2009/9/main" objectType="CheckBox" fmlaLink="$AK$97" lockText="1" noThreeD="1"/>
</file>

<file path=xl/ctrlProps/ctrlProp36.xml><?xml version="1.0" encoding="utf-8"?>
<formControlPr xmlns="http://schemas.microsoft.com/office/spreadsheetml/2009/9/main" objectType="CheckBox" fmlaLink="$AL$98" lockText="1" noThreeD="1"/>
</file>

<file path=xl/ctrlProps/ctrlProp37.xml><?xml version="1.0" encoding="utf-8"?>
<formControlPr xmlns="http://schemas.microsoft.com/office/spreadsheetml/2009/9/main" objectType="CheckBox" fmlaLink="$AK$98" lockText="1" noThreeD="1"/>
</file>

<file path=xl/ctrlProps/ctrlProp38.xml><?xml version="1.0" encoding="utf-8"?>
<formControlPr xmlns="http://schemas.microsoft.com/office/spreadsheetml/2009/9/main" objectType="CheckBox" fmlaLink="$AL$99" lockText="1" noThreeD="1"/>
</file>

<file path=xl/ctrlProps/ctrlProp39.xml><?xml version="1.0" encoding="utf-8"?>
<formControlPr xmlns="http://schemas.microsoft.com/office/spreadsheetml/2009/9/main" objectType="CheckBox" fmlaLink="$AK$99" lockText="1" noThreeD="1"/>
</file>

<file path=xl/ctrlProps/ctrlProp40.xml><?xml version="1.0" encoding="utf-8"?>
<formControlPr xmlns="http://schemas.microsoft.com/office/spreadsheetml/2009/9/main" objectType="Drop" dropLines="5" dropStyle="combo" dx="16" fmlaLink="$AJ$35" fmlaRange="'3 Selection fields'!$R$16:$R$20" noThreeD="1" sel="1" val="0"/>
</file>

<file path=xl/ctrlProps/ctrlProp41.xml><?xml version="1.0" encoding="utf-8"?>
<formControlPr xmlns="http://schemas.microsoft.com/office/spreadsheetml/2009/9/main" objectType="Drop" dropLines="5" dropStyle="combo" dx="16" fmlaLink="$AI$36" fmlaRange="'3 Selection fields'!$R$16:$R$20" noThreeD="1" sel="1" val="0"/>
</file>

<file path=xl/ctrlProps/ctrlProp42.xml><?xml version="1.0" encoding="utf-8"?>
<formControlPr xmlns="http://schemas.microsoft.com/office/spreadsheetml/2009/9/main" objectType="Drop" dropLines="5" dropStyle="combo" dx="16" fmlaLink="$AI$37" fmlaRange="'3 Selection fields'!$R$16:$R$20" noThreeD="1" sel="1" val="0"/>
</file>

<file path=xl/ctrlProps/ctrlProp43.xml><?xml version="1.0" encoding="utf-8"?>
<formControlPr xmlns="http://schemas.microsoft.com/office/spreadsheetml/2009/9/main" objectType="CheckBox" fmlaLink="$AL$120" lockText="1" noThreeD="1"/>
</file>

<file path=xl/ctrlProps/ctrlProp44.xml><?xml version="1.0" encoding="utf-8"?>
<formControlPr xmlns="http://schemas.microsoft.com/office/spreadsheetml/2009/9/main" objectType="CheckBox" fmlaLink="$AK$120" lockText="1" noThreeD="1"/>
</file>

<file path=xl/ctrlProps/ctrlProp45.xml><?xml version="1.0" encoding="utf-8"?>
<formControlPr xmlns="http://schemas.microsoft.com/office/spreadsheetml/2009/9/main" objectType="CheckBox" fmlaLink="$AL$122" lockText="1" noThreeD="1"/>
</file>

<file path=xl/ctrlProps/ctrlProp46.xml><?xml version="1.0" encoding="utf-8"?>
<formControlPr xmlns="http://schemas.microsoft.com/office/spreadsheetml/2009/9/main" objectType="CheckBox" fmlaLink="$AK$122" lockText="1" noThreeD="1"/>
</file>

<file path=xl/ctrlProps/ctrlProp47.xml><?xml version="1.0" encoding="utf-8"?>
<formControlPr xmlns="http://schemas.microsoft.com/office/spreadsheetml/2009/9/main" objectType="CheckBox" fmlaLink="$AL$123" lockText="1" noThreeD="1"/>
</file>

<file path=xl/ctrlProps/ctrlProp48.xml><?xml version="1.0" encoding="utf-8"?>
<formControlPr xmlns="http://schemas.microsoft.com/office/spreadsheetml/2009/9/main" objectType="CheckBox" fmlaLink="$AK$123" lockText="1" noThreeD="1"/>
</file>

<file path=xl/ctrlProps/ctrlProp49.xml><?xml version="1.0" encoding="utf-8"?>
<formControlPr xmlns="http://schemas.microsoft.com/office/spreadsheetml/2009/9/main" objectType="Drop" dropLines="10" dropStyle="combo" dx="16" fmlaLink="AI29" fmlaRange="'3 Selection fields'!$Z$16:$Z$28" noThreeD="1" sel="1" val="0"/>
</file>

<file path=xl/ctrlProps/ctrlProp50.xml><?xml version="1.0" encoding="utf-8"?>
<formControlPr xmlns="http://schemas.microsoft.com/office/spreadsheetml/2009/9/main" objectType="Drop" dropLines="10" dropStyle="combo" dx="16" fmlaLink="AI27" fmlaRange="'3 Selection fields'!$Z$16:$Z$28" noThreeD="1" sel="1" val="0"/>
</file>

<file path=xl/ctrlProps/ctrlProp51.xml><?xml version="1.0" encoding="utf-8"?>
<formControlPr xmlns="http://schemas.microsoft.com/office/spreadsheetml/2009/9/main" objectType="Drop" dropLines="10" dropStyle="combo" dx="16" fmlaLink="AI28" fmlaRange="'3 Selection fields'!$Z$16:$Z$25" noThreeD="1" sel="1" val="0"/>
</file>

<file path=xl/ctrlProps/ctrlProp52.xml><?xml version="1.0" encoding="utf-8"?>
<formControlPr xmlns="http://schemas.microsoft.com/office/spreadsheetml/2009/9/main" objectType="Drop" dropLines="10" dropStyle="combo" dx="16" fmlaLink="AI26" fmlaRange="'3 Selection fields'!$Z$16:$Z$28" noThreeD="1" sel="1" val="0"/>
</file>

<file path=xl/ctrlProps/ctrlProp53.xml><?xml version="1.0" encoding="utf-8"?>
<formControlPr xmlns="http://schemas.microsoft.com/office/spreadsheetml/2009/9/main" objectType="CheckBox" fmlaLink="$AL$118" lockText="1" noThreeD="1"/>
</file>

<file path=xl/ctrlProps/ctrlProp54.xml><?xml version="1.0" encoding="utf-8"?>
<formControlPr xmlns="http://schemas.microsoft.com/office/spreadsheetml/2009/9/main" objectType="CheckBox" fmlaLink="$AK$118" lockText="1" noThreeD="1"/>
</file>

<file path=xl/ctrlProps/ctrlProp55.xml><?xml version="1.0" encoding="utf-8"?>
<formControlPr xmlns="http://schemas.microsoft.com/office/spreadsheetml/2009/9/main" objectType="CheckBox" fmlaLink="$AL$121" lockText="1" noThreeD="1"/>
</file>

<file path=xl/ctrlProps/ctrlProp56.xml><?xml version="1.0" encoding="utf-8"?>
<formControlPr xmlns="http://schemas.microsoft.com/office/spreadsheetml/2009/9/main" objectType="CheckBox" fmlaLink="$AK$121" lockText="1" noThreeD="1"/>
</file>

<file path=xl/ctrlProps/ctrlProp57.xml><?xml version="1.0" encoding="utf-8"?>
<formControlPr xmlns="http://schemas.microsoft.com/office/spreadsheetml/2009/9/main" objectType="CheckBox" fmlaLink="$AL$119" lockText="1" noThreeD="1"/>
</file>

<file path=xl/ctrlProps/ctrlProp58.xml><?xml version="1.0" encoding="utf-8"?>
<formControlPr xmlns="http://schemas.microsoft.com/office/spreadsheetml/2009/9/main" objectType="CheckBox" fmlaLink="$AK$119" lockText="1" noThreeD="1"/>
</file>

<file path=xl/ctrlProps/ctrlProp59.xml><?xml version="1.0" encoding="utf-8"?>
<formControlPr xmlns="http://schemas.microsoft.com/office/spreadsheetml/2009/9/main" objectType="Drop" dropLines="9" dropStyle="combo" dx="16" fmlaLink="'1 Injection molding 2K . 3K'!$AI$126" fmlaRange="'3 Selection fields'!$F$16:$F$24" noThreeD="1" sel="1" val="0"/>
</file>

<file path=xl/ctrlProps/ctrlProp60.xml><?xml version="1.0" encoding="utf-8"?>
<formControlPr xmlns="http://schemas.microsoft.com/office/spreadsheetml/2009/9/main" objectType="Drop" dropLines="9" dropStyle="combo" dx="16" fmlaLink="'1 Injection molding 2K . 3K'!$AI$128" fmlaRange="'3 Selection fields'!$F$16:$F$24" noThreeD="1" sel="1" val="0"/>
</file>

<file path=xl/ctrlProps/ctrlProp61.xml><?xml version="1.0" encoding="utf-8"?>
<formControlPr xmlns="http://schemas.microsoft.com/office/spreadsheetml/2009/9/main" objectType="Drop" dropLines="9" dropStyle="combo" dx="16" fmlaLink="'1 Injection molding 2K . 3K'!$AI$127" fmlaRange="'3 Selection fields'!$F$16:$F$24" noThreeD="1" sel="1" val="0"/>
</file>

<file path=xl/ctrlProps/ctrlProp62.xml><?xml version="1.0" encoding="utf-8"?>
<formControlPr xmlns="http://schemas.microsoft.com/office/spreadsheetml/2009/9/main" objectType="Drop" dropLines="9" dropStyle="combo" dx="16" fmlaLink="'1 Injection molding 2K . 3K'!$AI$129" fmlaRange="'3 Selection fields'!$J$16:$J$24" noThreeD="1" sel="1" val="0"/>
</file>

<file path=xl/ctrlProps/ctrlProp63.xml><?xml version="1.0" encoding="utf-8"?>
<formControlPr xmlns="http://schemas.microsoft.com/office/spreadsheetml/2009/9/main" objectType="Drop" dropLines="9" dropStyle="combo" dx="16" fmlaLink="'1 Injection molding 2K . 3K'!$AI$130" fmlaRange="'3 Selection fields'!$J$16:$J$24" noThreeD="1" sel="1" val="0"/>
</file>

<file path=xl/ctrlProps/ctrlProp64.xml><?xml version="1.0" encoding="utf-8"?>
<formControlPr xmlns="http://schemas.microsoft.com/office/spreadsheetml/2009/9/main" objectType="Drop" dropLines="9" dropStyle="combo" dx="16" fmlaLink="'1 Injection molding 2K . 3K'!$AI$131" fmlaRange="'3 Selection fields'!$J$16:$J$24" noThreeD="1" sel="1" val="0"/>
</file>

<file path=xl/ctrlProps/ctrlProp65.xml><?xml version="1.0" encoding="utf-8"?>
<formControlPr xmlns="http://schemas.microsoft.com/office/spreadsheetml/2009/9/main" objectType="Drop" dropLines="7" dropStyle="combo" dx="16" fmlaLink="'1 Injection molding 2K . 3K'!$AI$132" fmlaRange="'3 Selection fields'!$L$16:$L$23" noThreeD="1" sel="1" val="0"/>
</file>

<file path=xl/ctrlProps/ctrlProp66.xml><?xml version="1.0" encoding="utf-8"?>
<formControlPr xmlns="http://schemas.microsoft.com/office/spreadsheetml/2009/9/main" objectType="Drop" dropLines="7" dropStyle="combo" dx="16" fmlaLink="'1 Injection molding 2K . 3K'!$AI$133" fmlaRange="'3 Selection fields'!$L$16:$L$23" noThreeD="1" sel="1" val="0"/>
</file>

<file path=xl/ctrlProps/ctrlProp67.xml><?xml version="1.0" encoding="utf-8"?>
<formControlPr xmlns="http://schemas.microsoft.com/office/spreadsheetml/2009/9/main" objectType="Drop" dropLines="7" dropStyle="combo" dx="16" fmlaLink="'1 Injection molding 2K . 3K'!$AI$134" fmlaRange="'3 Selection fields'!$L$16:$L$23" noThreeD="1" sel="1" val="0"/>
</file>

<file path=xl/ctrlProps/ctrlProp68.xml><?xml version="1.0" encoding="utf-8"?>
<formControlPr xmlns="http://schemas.microsoft.com/office/spreadsheetml/2009/9/main" objectType="Drop" dropLines="13" dropStyle="combo" dx="16" fmlaLink="$AI$135" fmlaRange="'3 Selection fields'!$P$16:$P$28" noThreeD="1" sel="1" val="0"/>
</file>

<file path=xl/ctrlProps/ctrlProp69.xml><?xml version="1.0" encoding="utf-8"?>
<formControlPr xmlns="http://schemas.microsoft.com/office/spreadsheetml/2009/9/main" objectType="Drop" dropLines="13" dropStyle="combo" dx="16" fmlaLink="$AI$136" fmlaRange="'3 Selection fields'!$P$16:$P$28" noThreeD="1" sel="1" val="0"/>
</file>

<file path=xl/ctrlProps/ctrlProp70.xml><?xml version="1.0" encoding="utf-8"?>
<formControlPr xmlns="http://schemas.microsoft.com/office/spreadsheetml/2009/9/main" objectType="Drop" dropLines="13" dropStyle="combo" dx="16" fmlaLink="$AI$137" fmlaRange="'3 Selection fields'!$P$16:$P$28" noThreeD="1" sel="1" val="0"/>
</file>

<file path=xl/ctrlProps/ctrlProp71.xml><?xml version="1.0" encoding="utf-8"?>
<formControlPr xmlns="http://schemas.microsoft.com/office/spreadsheetml/2009/9/main" objectType="CheckBox" fmlaLink="AL141" lockText="1" noThreeD="1"/>
</file>

<file path=xl/ctrlProps/ctrlProp72.xml><?xml version="1.0" encoding="utf-8"?>
<formControlPr xmlns="http://schemas.microsoft.com/office/spreadsheetml/2009/9/main" objectType="CheckBox" fmlaLink="$AK$141" lockText="1" noThreeD="1"/>
</file>

<file path=xl/ctrlProps/ctrlProp73.xml><?xml version="1.0" encoding="utf-8"?>
<formControlPr xmlns="http://schemas.microsoft.com/office/spreadsheetml/2009/9/main" objectType="CheckBox" fmlaLink="$AL$144" lockText="1" noThreeD="1"/>
</file>

<file path=xl/ctrlProps/ctrlProp74.xml><?xml version="1.0" encoding="utf-8"?>
<formControlPr xmlns="http://schemas.microsoft.com/office/spreadsheetml/2009/9/main" objectType="CheckBox" fmlaLink="$AK$144" lockText="1" noThreeD="1"/>
</file>

<file path=xl/ctrlProps/ctrlProp75.xml><?xml version="1.0" encoding="utf-8"?>
<formControlPr xmlns="http://schemas.microsoft.com/office/spreadsheetml/2009/9/main" objectType="CheckBox" fmlaLink="$AL$143" lockText="1" noThreeD="1"/>
</file>

<file path=xl/ctrlProps/ctrlProp76.xml><?xml version="1.0" encoding="utf-8"?>
<formControlPr xmlns="http://schemas.microsoft.com/office/spreadsheetml/2009/9/main" objectType="CheckBox" fmlaLink="$AK$143" lockText="1" noThreeD="1"/>
</file>

<file path=xl/ctrlProps/ctrlProp77.xml><?xml version="1.0" encoding="utf-8"?>
<formControlPr xmlns="http://schemas.microsoft.com/office/spreadsheetml/2009/9/main" objectType="CheckBox" fmlaLink="$AL$142" lockText="1" noThreeD="1"/>
</file>

<file path=xl/ctrlProps/ctrlProp78.xml><?xml version="1.0" encoding="utf-8"?>
<formControlPr xmlns="http://schemas.microsoft.com/office/spreadsheetml/2009/9/main" objectType="CheckBox" fmlaLink="$AK$142" lockText="1" noThreeD="1"/>
</file>

<file path=xl/ctrlProps/ctrlProp79.xml><?xml version="1.0" encoding="utf-8"?>
<formControlPr xmlns="http://schemas.microsoft.com/office/spreadsheetml/2009/9/main" objectType="CheckBox" fmlaLink="$AL$147" lockText="1" noThreeD="1"/>
</file>

<file path=xl/ctrlProps/ctrlProp80.xml><?xml version="1.0" encoding="utf-8"?>
<formControlPr xmlns="http://schemas.microsoft.com/office/spreadsheetml/2009/9/main" objectType="CheckBox" fmlaLink="$AK$147" lockText="1" noThreeD="1"/>
</file>

<file path=xl/ctrlProps/ctrlProp81.xml><?xml version="1.0" encoding="utf-8"?>
<formControlPr xmlns="http://schemas.microsoft.com/office/spreadsheetml/2009/9/main" objectType="CheckBox" fmlaLink="$AL$148" lockText="1" noThreeD="1"/>
</file>

<file path=xl/ctrlProps/ctrlProp82.xml><?xml version="1.0" encoding="utf-8"?>
<formControlPr xmlns="http://schemas.microsoft.com/office/spreadsheetml/2009/9/main" objectType="CheckBox" fmlaLink="$AK$148" lockText="1" noThreeD="1"/>
</file>

<file path=xl/ctrlProps/ctrlProp83.xml><?xml version="1.0" encoding="utf-8"?>
<formControlPr xmlns="http://schemas.microsoft.com/office/spreadsheetml/2009/9/main" objectType="CheckBox" fmlaLink="$AK$156" lockText="1" noThreeD="1"/>
</file>

<file path=xl/ctrlProps/ctrlProp84.xml><?xml version="1.0" encoding="utf-8"?>
<formControlPr xmlns="http://schemas.microsoft.com/office/spreadsheetml/2009/9/main" objectType="CheckBox" fmlaLink="$AL$158" lockText="1" noThreeD="1"/>
</file>

<file path=xl/ctrlProps/ctrlProp85.xml><?xml version="1.0" encoding="utf-8"?>
<formControlPr xmlns="http://schemas.microsoft.com/office/spreadsheetml/2009/9/main" objectType="CheckBox" fmlaLink="$AK$158" lockText="1" noThreeD="1"/>
</file>

<file path=xl/ctrlProps/ctrlProp86.xml><?xml version="1.0" encoding="utf-8"?>
<formControlPr xmlns="http://schemas.microsoft.com/office/spreadsheetml/2009/9/main" objectType="CheckBox" fmlaLink="$AL$159" lockText="1" noThreeD="1"/>
</file>

<file path=xl/ctrlProps/ctrlProp87.xml><?xml version="1.0" encoding="utf-8"?>
<formControlPr xmlns="http://schemas.microsoft.com/office/spreadsheetml/2009/9/main" objectType="CheckBox" fmlaLink="$AK$159" lockText="1" noThreeD="1"/>
</file>

<file path=xl/ctrlProps/ctrlProp88.xml><?xml version="1.0" encoding="utf-8"?>
<formControlPr xmlns="http://schemas.microsoft.com/office/spreadsheetml/2009/9/main" objectType="CheckBox" fmlaLink="$AL$160" lockText="1" noThreeD="1"/>
</file>

<file path=xl/ctrlProps/ctrlProp89.xml><?xml version="1.0" encoding="utf-8"?>
<formControlPr xmlns="http://schemas.microsoft.com/office/spreadsheetml/2009/9/main" objectType="CheckBox" fmlaLink="$AK$160" lockText="1" noThreeD="1"/>
</file>

<file path=xl/ctrlProps/ctrlProp90.xml><?xml version="1.0" encoding="utf-8"?>
<formControlPr xmlns="http://schemas.microsoft.com/office/spreadsheetml/2009/9/main" objectType="CheckBox" fmlaLink="$AL$149" lockText="1" noThreeD="1"/>
</file>

<file path=xl/ctrlProps/ctrlProp91.xml><?xml version="1.0" encoding="utf-8"?>
<formControlPr xmlns="http://schemas.microsoft.com/office/spreadsheetml/2009/9/main" objectType="CheckBox" fmlaLink="$AK$149" lockText="1" noThreeD="1"/>
</file>

<file path=xl/ctrlProps/ctrlProp92.xml><?xml version="1.0" encoding="utf-8"?>
<formControlPr xmlns="http://schemas.microsoft.com/office/spreadsheetml/2009/9/main" objectType="Drop" dropLines="5" dropStyle="combo" dx="16" fmlaLink="$AI$30" fmlaRange="'3 Selection fields'!$T$16:$T$20" noThreeD="1" sel="1" val="0"/>
</file>

<file path=xl/ctrlProps/ctrlProp93.xml><?xml version="1.0" encoding="utf-8"?>
<formControlPr xmlns="http://schemas.microsoft.com/office/spreadsheetml/2009/9/main" objectType="CheckBox" fmlaLink="$AL$156" lockText="1" noThreeD="1"/>
</file>

<file path=xl/ctrlProps/ctrlProp94.xml><?xml version="1.0" encoding="utf-8"?>
<formControlPr xmlns="http://schemas.microsoft.com/office/spreadsheetml/2009/9/main" objectType="CheckBox" fmlaLink="$AL$157" lockText="1" noThreeD="1"/>
</file>

<file path=xl/ctrlProps/ctrlProp95.xml><?xml version="1.0" encoding="utf-8"?>
<formControlPr xmlns="http://schemas.microsoft.com/office/spreadsheetml/2009/9/main" objectType="CheckBox" fmlaLink="$AK$157" lockText="1" noThreeD="1"/>
</file>

<file path=xl/ctrlProps/ctrlProp96.xml><?xml version="1.0" encoding="utf-8"?>
<formControlPr xmlns="http://schemas.microsoft.com/office/spreadsheetml/2009/9/main" objectType="CheckBox" fmlaLink="$AL$155" lockText="1" noThreeD="1"/>
</file>

<file path=xl/ctrlProps/ctrlProp97.xml><?xml version="1.0" encoding="utf-8"?>
<formControlPr xmlns="http://schemas.microsoft.com/office/spreadsheetml/2009/9/main" objectType="CheckBox" fmlaLink="$AK$155" lockText="1" noThreeD="1"/>
</file>

<file path=xl/ctrlProps/ctrlProp98.xml><?xml version="1.0" encoding="utf-8"?>
<formControlPr xmlns="http://schemas.microsoft.com/office/spreadsheetml/2009/9/main" objectType="CheckBox" fmlaLink="$AL$43" lockText="1" noThreeD="1"/>
</file>

<file path=xl/ctrlProps/ctrlProp99.xml><?xml version="1.0" encoding="utf-8"?>
<formControlPr xmlns="http://schemas.microsoft.com/office/spreadsheetml/2009/9/main" objectType="CheckBox" fmlaLink="$AK$43" lockText="1" noThreeD="1"/>
</file>

<file path=xl/ctrlProps/ctrlProp100.xml><?xml version="1.0" encoding="utf-8"?>
<formControlPr xmlns="http://schemas.microsoft.com/office/spreadsheetml/2009/9/main" objectType="CheckBox" fmlaLink="$AL$44" lockText="1" noThreeD="1"/>
</file>

<file path=xl/ctrlProps/ctrlProp101.xml><?xml version="1.0" encoding="utf-8"?>
<formControlPr xmlns="http://schemas.microsoft.com/office/spreadsheetml/2009/9/main" objectType="CheckBox" fmlaLink="$AK$44" lockText="1" noThreeD="1"/>
</file>

<file path=xl/ctrlProps/ctrlProp102.xml><?xml version="1.0" encoding="utf-8"?>
<formControlPr xmlns="http://schemas.microsoft.com/office/spreadsheetml/2009/9/main" objectType="CheckBox" fmlaLink="$AL$45" lockText="1" noThreeD="1"/>
</file>

<file path=xl/ctrlProps/ctrlProp103.xml><?xml version="1.0" encoding="utf-8"?>
<formControlPr xmlns="http://schemas.microsoft.com/office/spreadsheetml/2009/9/main" objectType="CheckBox" fmlaLink="$AK$45" lockText="1" noThreeD="1"/>
</file>

<file path=xl/ctrlProps/ctrlProp104.xml><?xml version="1.0" encoding="utf-8"?>
<formControlPr xmlns="http://schemas.microsoft.com/office/spreadsheetml/2009/9/main" objectType="CheckBox" fmlaLink="$AL$46" lockText="1" noThreeD="1"/>
</file>

<file path=xl/ctrlProps/ctrlProp105.xml><?xml version="1.0" encoding="utf-8"?>
<formControlPr xmlns="http://schemas.microsoft.com/office/spreadsheetml/2009/9/main" objectType="CheckBox" fmlaLink="$AK$46" lockText="1" noThreeD="1"/>
</file>

<file path=xl/ctrlProps/ctrlProp106.xml><?xml version="1.0" encoding="utf-8"?>
<formControlPr xmlns="http://schemas.microsoft.com/office/spreadsheetml/2009/9/main" objectType="CheckBox" fmlaLink="$AL$47" lockText="1" noThreeD="1"/>
</file>

<file path=xl/ctrlProps/ctrlProp107.xml><?xml version="1.0" encoding="utf-8"?>
<formControlPr xmlns="http://schemas.microsoft.com/office/spreadsheetml/2009/9/main" objectType="CheckBox" fmlaLink="$AK$47" lockText="1" noThreeD="1"/>
</file>

<file path=xl/ctrlProps/ctrlProp108.xml><?xml version="1.0" encoding="utf-8"?>
<formControlPr xmlns="http://schemas.microsoft.com/office/spreadsheetml/2009/9/main" objectType="CheckBox" fmlaLink="$AL$48" lockText="1" noThreeD="1"/>
</file>

<file path=xl/ctrlProps/ctrlProp109.xml><?xml version="1.0" encoding="utf-8"?>
<formControlPr xmlns="http://schemas.microsoft.com/office/spreadsheetml/2009/9/main" objectType="CheckBox" fmlaLink="$AK$48" lockText="1" noThreeD="1"/>
</file>

<file path=xl/ctrlProps/ctrlProp110.xml><?xml version="1.0" encoding="utf-8"?>
<formControlPr xmlns="http://schemas.microsoft.com/office/spreadsheetml/2009/9/main" objectType="CheckBox" fmlaLink="$AL$49" lockText="1" noThreeD="1"/>
</file>

<file path=xl/ctrlProps/ctrlProp111.xml><?xml version="1.0" encoding="utf-8"?>
<formControlPr xmlns="http://schemas.microsoft.com/office/spreadsheetml/2009/9/main" objectType="CheckBox" fmlaLink="$AK$49" lockText="1" noThreeD="1"/>
</file>

<file path=xl/ctrlProps/ctrlProp112.xml><?xml version="1.0" encoding="utf-8"?>
<formControlPr xmlns="http://schemas.microsoft.com/office/spreadsheetml/2009/9/main" objectType="CheckBox" fmlaLink="$AL$50" lockText="1" noThreeD="1"/>
</file>

<file path=xl/ctrlProps/ctrlProp113.xml><?xml version="1.0" encoding="utf-8"?>
<formControlPr xmlns="http://schemas.microsoft.com/office/spreadsheetml/2009/9/main" objectType="CheckBox" fmlaLink="$AK$50" lockText="1" noThreeD="1"/>
</file>

<file path=xl/ctrlProps/ctrlProp114.xml><?xml version="1.0" encoding="utf-8"?>
<formControlPr xmlns="http://schemas.microsoft.com/office/spreadsheetml/2009/9/main" objectType="CheckBox" fmlaLink="$AL$51" lockText="1" noThreeD="1"/>
</file>

<file path=xl/ctrlProps/ctrlProp115.xml><?xml version="1.0" encoding="utf-8"?>
<formControlPr xmlns="http://schemas.microsoft.com/office/spreadsheetml/2009/9/main" objectType="CheckBox" fmlaLink="$AK$51" lockText="1" noThreeD="1"/>
</file>

<file path=xl/ctrlProps/ctrlProp116.xml><?xml version="1.0" encoding="utf-8"?>
<formControlPr xmlns="http://schemas.microsoft.com/office/spreadsheetml/2009/9/main" objectType="CheckBox" fmlaLink="$AL$40" lockText="1" noThreeD="1"/>
</file>

<file path=xl/ctrlProps/ctrlProp117.xml><?xml version="1.0" encoding="utf-8"?>
<formControlPr xmlns="http://schemas.microsoft.com/office/spreadsheetml/2009/9/main" objectType="CheckBox" fmlaLink="$AK$40" lockText="1" noThreeD="1"/>
</file>

<file path=xl/ctrlProps/ctrlProp118.xml><?xml version="1.0" encoding="utf-8"?>
<formControlPr xmlns="http://schemas.microsoft.com/office/spreadsheetml/2009/9/main" objectType="CheckBox" fmlaLink="$AL$41" lockText="1" noThreeD="1"/>
</file>

<file path=xl/ctrlProps/ctrlProp119.xml><?xml version="1.0" encoding="utf-8"?>
<formControlPr xmlns="http://schemas.microsoft.com/office/spreadsheetml/2009/9/main" objectType="CheckBox" fmlaLink="$AK$41" lockText="1" noThreeD="1"/>
</file>

<file path=xl/ctrlProps/ctrlProp120.xml><?xml version="1.0" encoding="utf-8"?>
<formControlPr xmlns="http://schemas.microsoft.com/office/spreadsheetml/2009/9/main" objectType="CheckBox" checked="Checked" fmlaLink="$AL$42" lockText="1" noThreeD="1"/>
</file>

<file path=xl/ctrlProps/ctrlProp121.xml><?xml version="1.0" encoding="utf-8"?>
<formControlPr xmlns="http://schemas.microsoft.com/office/spreadsheetml/2009/9/main" objectType="CheckBox" fmlaLink="$AK$42" lockText="1" noThreeD="1"/>
</file>

<file path=xl/ctrlProps/ctrlProp122.xml><?xml version="1.0" encoding="utf-8"?>
<formControlPr xmlns="http://schemas.microsoft.com/office/spreadsheetml/2009/9/main" objectType="Drop" dropStyle="combo" dx="16" fmlaLink="$AI$22" fmlaRange="'3 Selection fields'!$AB$16:$AB$23" noThreeD="1" sel="1" val="0"/>
</file>

<file path=xl/ctrlProps/ctrlProp123.xml><?xml version="1.0" encoding="utf-8"?>
<formControlPr xmlns="http://schemas.microsoft.com/office/spreadsheetml/2009/9/main" objectType="Drop" dropStyle="combo" dx="16" fmlaLink="$AI$23" fmlaRange="'3 Selection fields'!$AB$16:$AB$23" noThreeD="1" sel="1" val="0"/>
</file>

<file path=xl/ctrlProps/ctrlProp124.xml><?xml version="1.0" encoding="utf-8"?>
<formControlPr xmlns="http://schemas.microsoft.com/office/spreadsheetml/2009/9/main" objectType="Drop" dropStyle="combo" dx="16" fmlaLink="$AI$24" fmlaRange="'3 Selection fields'!$AB$16:$AB$23" noThreeD="1" sel="1" val="0"/>
</file>

<file path=xl/ctrlProps/ctrlProp125.xml><?xml version="1.0" encoding="utf-8"?>
<formControlPr xmlns="http://schemas.microsoft.com/office/spreadsheetml/2009/9/main" objectType="Drop" dropLines="10" dropStyle="combo" dx="16" fmlaLink="$AI$109" fmlaRange="'3 Selection fields'!$AD$16:$AD$25" noThreeD="1" sel="1" val="0"/>
</file>

<file path=xl/ctrlProps/ctrlProp126.xml><?xml version="1.0" encoding="utf-8"?>
<formControlPr xmlns="http://schemas.microsoft.com/office/spreadsheetml/2009/9/main" objectType="Drop" dropLines="10" dropStyle="combo" dx="16" fmlaLink="$AI$110" fmlaRange="'3 Selection fields'!$AD$16:$AD$25" noThreeD="1" sel="1" val="0"/>
</file>

<file path=xl/ctrlProps/ctrlProp127.xml><?xml version="1.0" encoding="utf-8"?>
<formControlPr xmlns="http://schemas.microsoft.com/office/spreadsheetml/2009/9/main" objectType="Drop" dropLines="10" dropStyle="combo" dx="16" fmlaLink="$AI$111" fmlaRange="'3 Selection fields'!$AD$16:$AD$25" noThreeD="1" sel="1" val="0"/>
</file>

<file path=xl/ctrlProps/ctrlProp128.xml><?xml version="1.0" encoding="utf-8"?>
<formControlPr xmlns="http://schemas.microsoft.com/office/spreadsheetml/2009/9/main" objectType="Drop" dropLines="20" dropStyle="combo" dx="16" fmlaLink="'1 Injection molding 2K . 3K'!$AI$31" fmlaRange="'3 Selection fields'!$AF$16:$AF$43" noThreeD="1" sel="1" val="0"/>
</file>

<file path=xl/ctrlProps/ctrlProp129.xml><?xml version="1.0" encoding="utf-8"?>
<formControlPr xmlns="http://schemas.microsoft.com/office/spreadsheetml/2009/9/main" objectType="Drop" dropStyle="combo" dx="16" fmlaLink="$AI$33" fmlaRange="'3 Selection fields'!$AH$16:$AH$24" noThreeD="1" sel="1" val="0"/>
</file>

<file path=xl/ctrlProps/ctrlProp130.xml><?xml version="1.0" encoding="utf-8"?>
<formControlPr xmlns="http://schemas.microsoft.com/office/spreadsheetml/2009/9/main" objectType="Drop" dropStyle="combo" dx="16" fmlaLink="$AI$32" fmlaRange="'3 Selection fields'!$AH$16:$AH$24" noThreeD="1" sel="1" val="0"/>
</file>

<file path=xl/ctrlProps/ctrlProp131.xml><?xml version="1.0" encoding="utf-8"?>
<formControlPr xmlns="http://schemas.microsoft.com/office/spreadsheetml/2009/9/main" objectType="CheckBox" fmlaLink="$AL$139" lockText="1" noThreeD="1"/>
</file>

<file path=xl/ctrlProps/ctrlProp132.xml><?xml version="1.0" encoding="utf-8"?>
<formControlPr xmlns="http://schemas.microsoft.com/office/spreadsheetml/2009/9/main" objectType="CheckBox" fmlaLink="$AK139" lockText="1" noThreeD="1"/>
</file>

<file path=xl/ctrlProps/ctrlProp133.xml><?xml version="1.0" encoding="utf-8"?>
<formControlPr xmlns="http://schemas.microsoft.com/office/spreadsheetml/2009/9/main" objectType="CheckBox" fmlaLink="AL140" lockText="1" noThreeD="1"/>
</file>

<file path=xl/ctrlProps/ctrlProp134.xml><?xml version="1.0" encoding="utf-8"?>
<formControlPr xmlns="http://schemas.microsoft.com/office/spreadsheetml/2009/9/main" objectType="CheckBox" fmlaLink="$AK$140" lockText="1" noThreeD="1"/>
</file>

<file path=xl/ctrlProps/ctrlProp135.xml><?xml version="1.0" encoding="utf-8"?>
<formControlPr xmlns="http://schemas.microsoft.com/office/spreadsheetml/2009/9/main" objectType="CheckBox" fmlaLink="AL146" lockText="1" noThreeD="1"/>
</file>

<file path=xl/ctrlProps/ctrlProp136.xml><?xml version="1.0" encoding="utf-8"?>
<formControlPr xmlns="http://schemas.microsoft.com/office/spreadsheetml/2009/9/main" objectType="CheckBox" fmlaLink="$AK$146" lockText="1" noThreeD="1"/>
</file>

<file path=xl/ctrlProps/ctrlProp137.xml><?xml version="1.0" encoding="utf-8"?>
<formControlPr xmlns="http://schemas.microsoft.com/office/spreadsheetml/2009/9/main" objectType="Drop" dropStyle="combo" dx="16" fmlaLink="'4 Language'!$B$8" fmlaRange="'4 Language'!$D$4:$D$5" noThreeD="1" sel="1" val="0"/>
</file>

<file path=xl/ctrlProps/ctrlProp138.xml><?xml version="1.0" encoding="utf-8"?>
<formControlPr xmlns="http://schemas.microsoft.com/office/spreadsheetml/2009/9/main" objectType="Drop" dropStyle="combo" dx="16" fmlaLink="'4 Language'!$B$8" fmlaRange="'4 Language'!$D$4:$D$5" noThreeD="1" sel="1" val="0"/>
</file>

<file path=xl/ctrlProps/ctrlProp139.xml><?xml version="1.0" encoding="utf-8"?>
<formControlPr xmlns="http://schemas.microsoft.com/office/spreadsheetml/2009/9/main" objectType="Drop" dropStyle="combo" dx="16" fmlaLink="'4 Language'!$B$8" fmlaRange="'4 Language'!$D$4:$D$5" noThreeD="1" sel="1" val="0"/>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Drop" dropLines="6" dropStyle="combo" dx="16" fmlaLink="'4 Language'!$B$2" fmlaRange="'4 Language'!$D$4:$D$9" noThreeD="1" sel="1" val="0"/>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295275</xdr:colOff>
          <xdr:row>0</xdr:row>
          <xdr:rowOff>123825</xdr:rowOff>
        </xdr:from>
        <xdr:to>
          <xdr:col>8</xdr:col>
          <xdr:colOff>285750</xdr:colOff>
          <xdr:row>0</xdr:row>
          <xdr:rowOff>381000</xdr:rowOff>
        </xdr:to>
        <xdr:sp macro="" textlink="">
          <xdr:nvSpPr>
            <xdr:cNvPr id="31745" name="Drop Down 1" hidden="1">
              <a:extLst>
                <a:ext uri="{63B3BB69-23CF-44E3-9099-C40C66FF867C}">
                  <a14:compatExt spid="_x0000_s31745"/>
                </a:ext>
                <a:ext uri="{FF2B5EF4-FFF2-40B4-BE49-F238E27FC236}">
                  <a16:creationId xmlns:a16="http://schemas.microsoft.com/office/drawing/2014/main" id="{00000000-0008-0000-0000-000001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166</xdr:row>
          <xdr:rowOff>57150</xdr:rowOff>
        </xdr:from>
        <xdr:to>
          <xdr:col>13</xdr:col>
          <xdr:colOff>314325</xdr:colOff>
          <xdr:row>166</xdr:row>
          <xdr:rowOff>304800</xdr:rowOff>
        </xdr:to>
        <xdr:sp macro="" textlink="">
          <xdr:nvSpPr>
            <xdr:cNvPr id="31805" name="Drop Down 61" hidden="1">
              <a:extLst>
                <a:ext uri="{63B3BB69-23CF-44E3-9099-C40C66FF867C}">
                  <a14:compatExt spid="_x0000_s31805"/>
                </a:ext>
                <a:ext uri="{FF2B5EF4-FFF2-40B4-BE49-F238E27FC236}">
                  <a16:creationId xmlns:a16="http://schemas.microsoft.com/office/drawing/2014/main" id="{00000000-0008-0000-0000-00003D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304800</xdr:colOff>
          <xdr:row>0</xdr:row>
          <xdr:rowOff>123825</xdr:rowOff>
        </xdr:from>
        <xdr:to>
          <xdr:col>22</xdr:col>
          <xdr:colOff>295275</xdr:colOff>
          <xdr:row>0</xdr:row>
          <xdr:rowOff>381000</xdr:rowOff>
        </xdr:to>
        <xdr:sp macro="" textlink="">
          <xdr:nvSpPr>
            <xdr:cNvPr id="31831" name="Drop Down 87" hidden="1">
              <a:extLst>
                <a:ext uri="{63B3BB69-23CF-44E3-9099-C40C66FF867C}">
                  <a14:compatExt spid="_x0000_s31831"/>
                </a:ext>
                <a:ext uri="{FF2B5EF4-FFF2-40B4-BE49-F238E27FC236}">
                  <a16:creationId xmlns:a16="http://schemas.microsoft.com/office/drawing/2014/main" id="{00000000-0008-0000-0000-000057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19050</xdr:rowOff>
        </xdr:from>
        <xdr:to>
          <xdr:col>14</xdr:col>
          <xdr:colOff>314325</xdr:colOff>
          <xdr:row>15</xdr:row>
          <xdr:rowOff>228600</xdr:rowOff>
        </xdr:to>
        <xdr:sp macro="" textlink="">
          <xdr:nvSpPr>
            <xdr:cNvPr id="31848" name="Drop Down 104" hidden="1">
              <a:extLst>
                <a:ext uri="{63B3BB69-23CF-44E3-9099-C40C66FF867C}">
                  <a14:compatExt spid="_x0000_s31848"/>
                </a:ext>
                <a:ext uri="{FF2B5EF4-FFF2-40B4-BE49-F238E27FC236}">
                  <a16:creationId xmlns:a16="http://schemas.microsoft.com/office/drawing/2014/main" id="{00000000-0008-0000-0000-000068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38</xdr:row>
          <xdr:rowOff>19050</xdr:rowOff>
        </xdr:from>
        <xdr:to>
          <xdr:col>10</xdr:col>
          <xdr:colOff>314325</xdr:colOff>
          <xdr:row>38</xdr:row>
          <xdr:rowOff>228600</xdr:rowOff>
        </xdr:to>
        <xdr:sp macro="" textlink="">
          <xdr:nvSpPr>
            <xdr:cNvPr id="31853" name="Drop Down 109" hidden="1">
              <a:extLst>
                <a:ext uri="{63B3BB69-23CF-44E3-9099-C40C66FF867C}">
                  <a14:compatExt spid="_x0000_s31853"/>
                </a:ext>
                <a:ext uri="{FF2B5EF4-FFF2-40B4-BE49-F238E27FC236}">
                  <a16:creationId xmlns:a16="http://schemas.microsoft.com/office/drawing/2014/main" id="{00000000-0008-0000-0000-00006D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15</xdr:row>
          <xdr:rowOff>19050</xdr:rowOff>
        </xdr:from>
        <xdr:to>
          <xdr:col>21</xdr:col>
          <xdr:colOff>0</xdr:colOff>
          <xdr:row>15</xdr:row>
          <xdr:rowOff>228600</xdr:rowOff>
        </xdr:to>
        <xdr:sp macro="" textlink="">
          <xdr:nvSpPr>
            <xdr:cNvPr id="31854" name="Drop Down 110" hidden="1">
              <a:extLst>
                <a:ext uri="{63B3BB69-23CF-44E3-9099-C40C66FF867C}">
                  <a14:compatExt spid="_x0000_s31854"/>
                </a:ext>
                <a:ext uri="{FF2B5EF4-FFF2-40B4-BE49-F238E27FC236}">
                  <a16:creationId xmlns:a16="http://schemas.microsoft.com/office/drawing/2014/main" id="{00000000-0008-0000-0000-00006E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19050</xdr:colOff>
          <xdr:row>15</xdr:row>
          <xdr:rowOff>19050</xdr:rowOff>
        </xdr:from>
        <xdr:to>
          <xdr:col>27</xdr:col>
          <xdr:colOff>0</xdr:colOff>
          <xdr:row>15</xdr:row>
          <xdr:rowOff>228600</xdr:rowOff>
        </xdr:to>
        <xdr:sp macro="" textlink="">
          <xdr:nvSpPr>
            <xdr:cNvPr id="31856" name="Drop Down 112" hidden="1">
              <a:extLst>
                <a:ext uri="{63B3BB69-23CF-44E3-9099-C40C66FF867C}">
                  <a14:compatExt spid="_x0000_s31856"/>
                </a:ext>
                <a:ext uri="{FF2B5EF4-FFF2-40B4-BE49-F238E27FC236}">
                  <a16:creationId xmlns:a16="http://schemas.microsoft.com/office/drawing/2014/main" id="{00000000-0008-0000-0000-000070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11</xdr:row>
          <xdr:rowOff>19050</xdr:rowOff>
        </xdr:from>
        <xdr:to>
          <xdr:col>27</xdr:col>
          <xdr:colOff>19050</xdr:colOff>
          <xdr:row>11</xdr:row>
          <xdr:rowOff>238125</xdr:rowOff>
        </xdr:to>
        <xdr:sp macro="" textlink="">
          <xdr:nvSpPr>
            <xdr:cNvPr id="31868" name="Drop Down 124" hidden="1">
              <a:extLst>
                <a:ext uri="{63B3BB69-23CF-44E3-9099-C40C66FF867C}">
                  <a14:compatExt spid="_x0000_s31868"/>
                </a:ext>
                <a:ext uri="{FF2B5EF4-FFF2-40B4-BE49-F238E27FC236}">
                  <a16:creationId xmlns:a16="http://schemas.microsoft.com/office/drawing/2014/main" id="{00000000-0008-0000-0000-00007C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12</xdr:row>
          <xdr:rowOff>19050</xdr:rowOff>
        </xdr:from>
        <xdr:to>
          <xdr:col>27</xdr:col>
          <xdr:colOff>19050</xdr:colOff>
          <xdr:row>12</xdr:row>
          <xdr:rowOff>238125</xdr:rowOff>
        </xdr:to>
        <xdr:sp macro="" textlink="">
          <xdr:nvSpPr>
            <xdr:cNvPr id="31870" name="Drop Down 126" hidden="1">
              <a:extLst>
                <a:ext uri="{63B3BB69-23CF-44E3-9099-C40C66FF867C}">
                  <a14:compatExt spid="_x0000_s31870"/>
                </a:ext>
                <a:ext uri="{FF2B5EF4-FFF2-40B4-BE49-F238E27FC236}">
                  <a16:creationId xmlns:a16="http://schemas.microsoft.com/office/drawing/2014/main" id="{00000000-0008-0000-0000-00007E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82</xdr:row>
          <xdr:rowOff>19050</xdr:rowOff>
        </xdr:from>
        <xdr:to>
          <xdr:col>14</xdr:col>
          <xdr:colOff>323850</xdr:colOff>
          <xdr:row>82</xdr:row>
          <xdr:rowOff>238125</xdr:rowOff>
        </xdr:to>
        <xdr:sp macro="" textlink="">
          <xdr:nvSpPr>
            <xdr:cNvPr id="31874" name="Check Box 130" hidden="1">
              <a:extLst>
                <a:ext uri="{63B3BB69-23CF-44E3-9099-C40C66FF867C}">
                  <a14:compatExt spid="_x0000_s31874"/>
                </a:ext>
                <a:ext uri="{FF2B5EF4-FFF2-40B4-BE49-F238E27FC236}">
                  <a16:creationId xmlns:a16="http://schemas.microsoft.com/office/drawing/2014/main" id="{00000000-0008-0000-0000-000082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82</xdr:row>
          <xdr:rowOff>19050</xdr:rowOff>
        </xdr:from>
        <xdr:to>
          <xdr:col>12</xdr:col>
          <xdr:colOff>323850</xdr:colOff>
          <xdr:row>82</xdr:row>
          <xdr:rowOff>238125</xdr:rowOff>
        </xdr:to>
        <xdr:sp macro="" textlink="">
          <xdr:nvSpPr>
            <xdr:cNvPr id="31875" name="Check Box 131" hidden="1">
              <a:extLst>
                <a:ext uri="{63B3BB69-23CF-44E3-9099-C40C66FF867C}">
                  <a14:compatExt spid="_x0000_s31875"/>
                </a:ext>
                <a:ext uri="{FF2B5EF4-FFF2-40B4-BE49-F238E27FC236}">
                  <a16:creationId xmlns:a16="http://schemas.microsoft.com/office/drawing/2014/main" id="{00000000-0008-0000-0000-000083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82</xdr:row>
          <xdr:rowOff>19050</xdr:rowOff>
        </xdr:from>
        <xdr:to>
          <xdr:col>20</xdr:col>
          <xdr:colOff>323850</xdr:colOff>
          <xdr:row>82</xdr:row>
          <xdr:rowOff>238125</xdr:rowOff>
        </xdr:to>
        <xdr:sp macro="" textlink="">
          <xdr:nvSpPr>
            <xdr:cNvPr id="31896" name="Check Box 152" hidden="1">
              <a:extLst>
                <a:ext uri="{63B3BB69-23CF-44E3-9099-C40C66FF867C}">
                  <a14:compatExt spid="_x0000_s31896"/>
                </a:ext>
                <a:ext uri="{FF2B5EF4-FFF2-40B4-BE49-F238E27FC236}">
                  <a16:creationId xmlns:a16="http://schemas.microsoft.com/office/drawing/2014/main" id="{00000000-0008-0000-0000-000098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82</xdr:row>
          <xdr:rowOff>19050</xdr:rowOff>
        </xdr:from>
        <xdr:to>
          <xdr:col>18</xdr:col>
          <xdr:colOff>323850</xdr:colOff>
          <xdr:row>82</xdr:row>
          <xdr:rowOff>238125</xdr:rowOff>
        </xdr:to>
        <xdr:sp macro="" textlink="">
          <xdr:nvSpPr>
            <xdr:cNvPr id="31897" name="Check Box 153" hidden="1">
              <a:extLst>
                <a:ext uri="{63B3BB69-23CF-44E3-9099-C40C66FF867C}">
                  <a14:compatExt spid="_x0000_s31897"/>
                </a:ext>
                <a:ext uri="{FF2B5EF4-FFF2-40B4-BE49-F238E27FC236}">
                  <a16:creationId xmlns:a16="http://schemas.microsoft.com/office/drawing/2014/main" id="{00000000-0008-0000-0000-000099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82</xdr:row>
          <xdr:rowOff>19050</xdr:rowOff>
        </xdr:from>
        <xdr:to>
          <xdr:col>26</xdr:col>
          <xdr:colOff>323850</xdr:colOff>
          <xdr:row>82</xdr:row>
          <xdr:rowOff>238125</xdr:rowOff>
        </xdr:to>
        <xdr:sp macro="" textlink="">
          <xdr:nvSpPr>
            <xdr:cNvPr id="31900" name="Check Box 156" hidden="1">
              <a:extLst>
                <a:ext uri="{63B3BB69-23CF-44E3-9099-C40C66FF867C}">
                  <a14:compatExt spid="_x0000_s31900"/>
                </a:ext>
                <a:ext uri="{FF2B5EF4-FFF2-40B4-BE49-F238E27FC236}">
                  <a16:creationId xmlns:a16="http://schemas.microsoft.com/office/drawing/2014/main" id="{00000000-0008-0000-0000-00009C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82</xdr:row>
          <xdr:rowOff>19050</xdr:rowOff>
        </xdr:from>
        <xdr:to>
          <xdr:col>24</xdr:col>
          <xdr:colOff>323850</xdr:colOff>
          <xdr:row>82</xdr:row>
          <xdr:rowOff>238125</xdr:rowOff>
        </xdr:to>
        <xdr:sp macro="" textlink="">
          <xdr:nvSpPr>
            <xdr:cNvPr id="31901" name="Check Box 157" hidden="1">
              <a:extLst>
                <a:ext uri="{63B3BB69-23CF-44E3-9099-C40C66FF867C}">
                  <a14:compatExt spid="_x0000_s31901"/>
                </a:ext>
                <a:ext uri="{FF2B5EF4-FFF2-40B4-BE49-F238E27FC236}">
                  <a16:creationId xmlns:a16="http://schemas.microsoft.com/office/drawing/2014/main" id="{00000000-0008-0000-0000-00009D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83</xdr:row>
          <xdr:rowOff>19050</xdr:rowOff>
        </xdr:from>
        <xdr:to>
          <xdr:col>14</xdr:col>
          <xdr:colOff>323850</xdr:colOff>
          <xdr:row>83</xdr:row>
          <xdr:rowOff>238125</xdr:rowOff>
        </xdr:to>
        <xdr:sp macro="" textlink="">
          <xdr:nvSpPr>
            <xdr:cNvPr id="31910" name="Check Box 166" hidden="1">
              <a:extLst>
                <a:ext uri="{63B3BB69-23CF-44E3-9099-C40C66FF867C}">
                  <a14:compatExt spid="_x0000_s31910"/>
                </a:ext>
                <a:ext uri="{FF2B5EF4-FFF2-40B4-BE49-F238E27FC236}">
                  <a16:creationId xmlns:a16="http://schemas.microsoft.com/office/drawing/2014/main" id="{00000000-0008-0000-0000-0000A6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83</xdr:row>
          <xdr:rowOff>19050</xdr:rowOff>
        </xdr:from>
        <xdr:to>
          <xdr:col>12</xdr:col>
          <xdr:colOff>323850</xdr:colOff>
          <xdr:row>83</xdr:row>
          <xdr:rowOff>238125</xdr:rowOff>
        </xdr:to>
        <xdr:sp macro="" textlink="">
          <xdr:nvSpPr>
            <xdr:cNvPr id="31911" name="Check Box 167" hidden="1">
              <a:extLst>
                <a:ext uri="{63B3BB69-23CF-44E3-9099-C40C66FF867C}">
                  <a14:compatExt spid="_x0000_s31911"/>
                </a:ext>
                <a:ext uri="{FF2B5EF4-FFF2-40B4-BE49-F238E27FC236}">
                  <a16:creationId xmlns:a16="http://schemas.microsoft.com/office/drawing/2014/main" id="{00000000-0008-0000-0000-0000A7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83</xdr:row>
          <xdr:rowOff>19050</xdr:rowOff>
        </xdr:from>
        <xdr:to>
          <xdr:col>20</xdr:col>
          <xdr:colOff>323850</xdr:colOff>
          <xdr:row>83</xdr:row>
          <xdr:rowOff>238125</xdr:rowOff>
        </xdr:to>
        <xdr:sp macro="" textlink="">
          <xdr:nvSpPr>
            <xdr:cNvPr id="31912" name="Check Box 168" hidden="1">
              <a:extLst>
                <a:ext uri="{63B3BB69-23CF-44E3-9099-C40C66FF867C}">
                  <a14:compatExt spid="_x0000_s31912"/>
                </a:ext>
                <a:ext uri="{FF2B5EF4-FFF2-40B4-BE49-F238E27FC236}">
                  <a16:creationId xmlns:a16="http://schemas.microsoft.com/office/drawing/2014/main" id="{00000000-0008-0000-0000-0000A8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83</xdr:row>
          <xdr:rowOff>19050</xdr:rowOff>
        </xdr:from>
        <xdr:to>
          <xdr:col>18</xdr:col>
          <xdr:colOff>323850</xdr:colOff>
          <xdr:row>83</xdr:row>
          <xdr:rowOff>238125</xdr:rowOff>
        </xdr:to>
        <xdr:sp macro="" textlink="">
          <xdr:nvSpPr>
            <xdr:cNvPr id="31913" name="Check Box 169" hidden="1">
              <a:extLst>
                <a:ext uri="{63B3BB69-23CF-44E3-9099-C40C66FF867C}">
                  <a14:compatExt spid="_x0000_s31913"/>
                </a:ext>
                <a:ext uri="{FF2B5EF4-FFF2-40B4-BE49-F238E27FC236}">
                  <a16:creationId xmlns:a16="http://schemas.microsoft.com/office/drawing/2014/main" id="{00000000-0008-0000-0000-0000A9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83</xdr:row>
          <xdr:rowOff>19050</xdr:rowOff>
        </xdr:from>
        <xdr:to>
          <xdr:col>26</xdr:col>
          <xdr:colOff>323850</xdr:colOff>
          <xdr:row>83</xdr:row>
          <xdr:rowOff>238125</xdr:rowOff>
        </xdr:to>
        <xdr:sp macro="" textlink="">
          <xdr:nvSpPr>
            <xdr:cNvPr id="31914" name="Check Box 170" hidden="1">
              <a:extLst>
                <a:ext uri="{63B3BB69-23CF-44E3-9099-C40C66FF867C}">
                  <a14:compatExt spid="_x0000_s31914"/>
                </a:ext>
                <a:ext uri="{FF2B5EF4-FFF2-40B4-BE49-F238E27FC236}">
                  <a16:creationId xmlns:a16="http://schemas.microsoft.com/office/drawing/2014/main" id="{00000000-0008-0000-0000-0000AA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83</xdr:row>
          <xdr:rowOff>19050</xdr:rowOff>
        </xdr:from>
        <xdr:to>
          <xdr:col>24</xdr:col>
          <xdr:colOff>323850</xdr:colOff>
          <xdr:row>83</xdr:row>
          <xdr:rowOff>238125</xdr:rowOff>
        </xdr:to>
        <xdr:sp macro="" textlink="">
          <xdr:nvSpPr>
            <xdr:cNvPr id="31915" name="Check Box 171" hidden="1">
              <a:extLst>
                <a:ext uri="{63B3BB69-23CF-44E3-9099-C40C66FF867C}">
                  <a14:compatExt spid="_x0000_s31915"/>
                </a:ext>
                <a:ext uri="{FF2B5EF4-FFF2-40B4-BE49-F238E27FC236}">
                  <a16:creationId xmlns:a16="http://schemas.microsoft.com/office/drawing/2014/main" id="{00000000-0008-0000-0000-0000AB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91</xdr:row>
          <xdr:rowOff>19050</xdr:rowOff>
        </xdr:from>
        <xdr:to>
          <xdr:col>14</xdr:col>
          <xdr:colOff>323850</xdr:colOff>
          <xdr:row>91</xdr:row>
          <xdr:rowOff>238125</xdr:rowOff>
        </xdr:to>
        <xdr:sp macro="" textlink="">
          <xdr:nvSpPr>
            <xdr:cNvPr id="31922" name="Check Box 178" hidden="1">
              <a:extLst>
                <a:ext uri="{63B3BB69-23CF-44E3-9099-C40C66FF867C}">
                  <a14:compatExt spid="_x0000_s31922"/>
                </a:ext>
                <a:ext uri="{FF2B5EF4-FFF2-40B4-BE49-F238E27FC236}">
                  <a16:creationId xmlns:a16="http://schemas.microsoft.com/office/drawing/2014/main" id="{00000000-0008-0000-0000-0000B2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91</xdr:row>
          <xdr:rowOff>19050</xdr:rowOff>
        </xdr:from>
        <xdr:to>
          <xdr:col>12</xdr:col>
          <xdr:colOff>323850</xdr:colOff>
          <xdr:row>91</xdr:row>
          <xdr:rowOff>238125</xdr:rowOff>
        </xdr:to>
        <xdr:sp macro="" textlink="">
          <xdr:nvSpPr>
            <xdr:cNvPr id="31923" name="Check Box 179" hidden="1">
              <a:extLst>
                <a:ext uri="{63B3BB69-23CF-44E3-9099-C40C66FF867C}">
                  <a14:compatExt spid="_x0000_s31923"/>
                </a:ext>
                <a:ext uri="{FF2B5EF4-FFF2-40B4-BE49-F238E27FC236}">
                  <a16:creationId xmlns:a16="http://schemas.microsoft.com/office/drawing/2014/main" id="{00000000-0008-0000-0000-0000B3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91</xdr:row>
          <xdr:rowOff>19050</xdr:rowOff>
        </xdr:from>
        <xdr:to>
          <xdr:col>20</xdr:col>
          <xdr:colOff>323850</xdr:colOff>
          <xdr:row>91</xdr:row>
          <xdr:rowOff>238125</xdr:rowOff>
        </xdr:to>
        <xdr:sp macro="" textlink="">
          <xdr:nvSpPr>
            <xdr:cNvPr id="31924" name="Check Box 180" hidden="1">
              <a:extLst>
                <a:ext uri="{63B3BB69-23CF-44E3-9099-C40C66FF867C}">
                  <a14:compatExt spid="_x0000_s31924"/>
                </a:ext>
                <a:ext uri="{FF2B5EF4-FFF2-40B4-BE49-F238E27FC236}">
                  <a16:creationId xmlns:a16="http://schemas.microsoft.com/office/drawing/2014/main" id="{00000000-0008-0000-0000-0000B4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91</xdr:row>
          <xdr:rowOff>19050</xdr:rowOff>
        </xdr:from>
        <xdr:to>
          <xdr:col>18</xdr:col>
          <xdr:colOff>323850</xdr:colOff>
          <xdr:row>91</xdr:row>
          <xdr:rowOff>238125</xdr:rowOff>
        </xdr:to>
        <xdr:sp macro="" textlink="">
          <xdr:nvSpPr>
            <xdr:cNvPr id="31925" name="Check Box 181" hidden="1">
              <a:extLst>
                <a:ext uri="{63B3BB69-23CF-44E3-9099-C40C66FF867C}">
                  <a14:compatExt spid="_x0000_s31925"/>
                </a:ext>
                <a:ext uri="{FF2B5EF4-FFF2-40B4-BE49-F238E27FC236}">
                  <a16:creationId xmlns:a16="http://schemas.microsoft.com/office/drawing/2014/main" id="{00000000-0008-0000-0000-0000B5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91</xdr:row>
          <xdr:rowOff>19050</xdr:rowOff>
        </xdr:from>
        <xdr:to>
          <xdr:col>26</xdr:col>
          <xdr:colOff>323850</xdr:colOff>
          <xdr:row>91</xdr:row>
          <xdr:rowOff>238125</xdr:rowOff>
        </xdr:to>
        <xdr:sp macro="" textlink="">
          <xdr:nvSpPr>
            <xdr:cNvPr id="31926" name="Check Box 182" hidden="1">
              <a:extLst>
                <a:ext uri="{63B3BB69-23CF-44E3-9099-C40C66FF867C}">
                  <a14:compatExt spid="_x0000_s31926"/>
                </a:ext>
                <a:ext uri="{FF2B5EF4-FFF2-40B4-BE49-F238E27FC236}">
                  <a16:creationId xmlns:a16="http://schemas.microsoft.com/office/drawing/2014/main" id="{00000000-0008-0000-0000-0000B6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91</xdr:row>
          <xdr:rowOff>19050</xdr:rowOff>
        </xdr:from>
        <xdr:to>
          <xdr:col>24</xdr:col>
          <xdr:colOff>323850</xdr:colOff>
          <xdr:row>91</xdr:row>
          <xdr:rowOff>238125</xdr:rowOff>
        </xdr:to>
        <xdr:sp macro="" textlink="">
          <xdr:nvSpPr>
            <xdr:cNvPr id="31927" name="Check Box 183" hidden="1">
              <a:extLst>
                <a:ext uri="{63B3BB69-23CF-44E3-9099-C40C66FF867C}">
                  <a14:compatExt spid="_x0000_s31927"/>
                </a:ext>
                <a:ext uri="{FF2B5EF4-FFF2-40B4-BE49-F238E27FC236}">
                  <a16:creationId xmlns:a16="http://schemas.microsoft.com/office/drawing/2014/main" id="{00000000-0008-0000-0000-0000B7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93</xdr:row>
          <xdr:rowOff>19050</xdr:rowOff>
        </xdr:from>
        <xdr:to>
          <xdr:col>14</xdr:col>
          <xdr:colOff>323850</xdr:colOff>
          <xdr:row>93</xdr:row>
          <xdr:rowOff>238125</xdr:rowOff>
        </xdr:to>
        <xdr:sp macro="" textlink="">
          <xdr:nvSpPr>
            <xdr:cNvPr id="31929" name="Check Box 185" hidden="1">
              <a:extLst>
                <a:ext uri="{63B3BB69-23CF-44E3-9099-C40C66FF867C}">
                  <a14:compatExt spid="_x0000_s31929"/>
                </a:ext>
                <a:ext uri="{FF2B5EF4-FFF2-40B4-BE49-F238E27FC236}">
                  <a16:creationId xmlns:a16="http://schemas.microsoft.com/office/drawing/2014/main" id="{00000000-0008-0000-0000-0000B9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93</xdr:row>
          <xdr:rowOff>19050</xdr:rowOff>
        </xdr:from>
        <xdr:to>
          <xdr:col>12</xdr:col>
          <xdr:colOff>323850</xdr:colOff>
          <xdr:row>93</xdr:row>
          <xdr:rowOff>238125</xdr:rowOff>
        </xdr:to>
        <xdr:sp macro="" textlink="">
          <xdr:nvSpPr>
            <xdr:cNvPr id="31930" name="Check Box 186" hidden="1">
              <a:extLst>
                <a:ext uri="{63B3BB69-23CF-44E3-9099-C40C66FF867C}">
                  <a14:compatExt spid="_x0000_s31930"/>
                </a:ext>
                <a:ext uri="{FF2B5EF4-FFF2-40B4-BE49-F238E27FC236}">
                  <a16:creationId xmlns:a16="http://schemas.microsoft.com/office/drawing/2014/main" id="{00000000-0008-0000-0000-0000BA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93</xdr:row>
          <xdr:rowOff>19050</xdr:rowOff>
        </xdr:from>
        <xdr:to>
          <xdr:col>20</xdr:col>
          <xdr:colOff>323850</xdr:colOff>
          <xdr:row>93</xdr:row>
          <xdr:rowOff>238125</xdr:rowOff>
        </xdr:to>
        <xdr:sp macro="" textlink="">
          <xdr:nvSpPr>
            <xdr:cNvPr id="31931" name="Check Box 187" hidden="1">
              <a:extLst>
                <a:ext uri="{63B3BB69-23CF-44E3-9099-C40C66FF867C}">
                  <a14:compatExt spid="_x0000_s31931"/>
                </a:ext>
                <a:ext uri="{FF2B5EF4-FFF2-40B4-BE49-F238E27FC236}">
                  <a16:creationId xmlns:a16="http://schemas.microsoft.com/office/drawing/2014/main" id="{00000000-0008-0000-0000-0000BB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93</xdr:row>
          <xdr:rowOff>19050</xdr:rowOff>
        </xdr:from>
        <xdr:to>
          <xdr:col>18</xdr:col>
          <xdr:colOff>323850</xdr:colOff>
          <xdr:row>93</xdr:row>
          <xdr:rowOff>238125</xdr:rowOff>
        </xdr:to>
        <xdr:sp macro="" textlink="">
          <xdr:nvSpPr>
            <xdr:cNvPr id="31932" name="Check Box 188" hidden="1">
              <a:extLst>
                <a:ext uri="{63B3BB69-23CF-44E3-9099-C40C66FF867C}">
                  <a14:compatExt spid="_x0000_s31932"/>
                </a:ext>
                <a:ext uri="{FF2B5EF4-FFF2-40B4-BE49-F238E27FC236}">
                  <a16:creationId xmlns:a16="http://schemas.microsoft.com/office/drawing/2014/main" id="{00000000-0008-0000-0000-0000BC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19050</xdr:rowOff>
        </xdr:from>
        <xdr:to>
          <xdr:col>26</xdr:col>
          <xdr:colOff>323850</xdr:colOff>
          <xdr:row>93</xdr:row>
          <xdr:rowOff>238125</xdr:rowOff>
        </xdr:to>
        <xdr:sp macro="" textlink="">
          <xdr:nvSpPr>
            <xdr:cNvPr id="31933" name="Check Box 189" hidden="1">
              <a:extLst>
                <a:ext uri="{63B3BB69-23CF-44E3-9099-C40C66FF867C}">
                  <a14:compatExt spid="_x0000_s31933"/>
                </a:ext>
                <a:ext uri="{FF2B5EF4-FFF2-40B4-BE49-F238E27FC236}">
                  <a16:creationId xmlns:a16="http://schemas.microsoft.com/office/drawing/2014/main" id="{00000000-0008-0000-0000-0000BD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93</xdr:row>
          <xdr:rowOff>19050</xdr:rowOff>
        </xdr:from>
        <xdr:to>
          <xdr:col>24</xdr:col>
          <xdr:colOff>323850</xdr:colOff>
          <xdr:row>93</xdr:row>
          <xdr:rowOff>238125</xdr:rowOff>
        </xdr:to>
        <xdr:sp macro="" textlink="">
          <xdr:nvSpPr>
            <xdr:cNvPr id="31934" name="Check Box 190" hidden="1">
              <a:extLst>
                <a:ext uri="{63B3BB69-23CF-44E3-9099-C40C66FF867C}">
                  <a14:compatExt spid="_x0000_s31934"/>
                </a:ext>
                <a:ext uri="{FF2B5EF4-FFF2-40B4-BE49-F238E27FC236}">
                  <a16:creationId xmlns:a16="http://schemas.microsoft.com/office/drawing/2014/main" id="{00000000-0008-0000-0000-0000BE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97</xdr:row>
          <xdr:rowOff>19050</xdr:rowOff>
        </xdr:from>
        <xdr:to>
          <xdr:col>14</xdr:col>
          <xdr:colOff>323850</xdr:colOff>
          <xdr:row>97</xdr:row>
          <xdr:rowOff>238125</xdr:rowOff>
        </xdr:to>
        <xdr:sp macro="" textlink="">
          <xdr:nvSpPr>
            <xdr:cNvPr id="31935" name="Check Box 191" hidden="1">
              <a:extLst>
                <a:ext uri="{63B3BB69-23CF-44E3-9099-C40C66FF867C}">
                  <a14:compatExt spid="_x0000_s31935"/>
                </a:ext>
                <a:ext uri="{FF2B5EF4-FFF2-40B4-BE49-F238E27FC236}">
                  <a16:creationId xmlns:a16="http://schemas.microsoft.com/office/drawing/2014/main" id="{00000000-0008-0000-0000-0000BF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97</xdr:row>
          <xdr:rowOff>9525</xdr:rowOff>
        </xdr:from>
        <xdr:to>
          <xdr:col>12</xdr:col>
          <xdr:colOff>323850</xdr:colOff>
          <xdr:row>97</xdr:row>
          <xdr:rowOff>247650</xdr:rowOff>
        </xdr:to>
        <xdr:sp macro="" textlink="">
          <xdr:nvSpPr>
            <xdr:cNvPr id="31936" name="Check Box 192" hidden="1">
              <a:extLst>
                <a:ext uri="{63B3BB69-23CF-44E3-9099-C40C66FF867C}">
                  <a14:compatExt spid="_x0000_s31936"/>
                </a:ext>
                <a:ext uri="{FF2B5EF4-FFF2-40B4-BE49-F238E27FC236}">
                  <a16:creationId xmlns:a16="http://schemas.microsoft.com/office/drawing/2014/main" id="{00000000-0008-0000-0000-0000C0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97</xdr:row>
          <xdr:rowOff>19050</xdr:rowOff>
        </xdr:from>
        <xdr:to>
          <xdr:col>20</xdr:col>
          <xdr:colOff>323850</xdr:colOff>
          <xdr:row>97</xdr:row>
          <xdr:rowOff>238125</xdr:rowOff>
        </xdr:to>
        <xdr:sp macro="" textlink="">
          <xdr:nvSpPr>
            <xdr:cNvPr id="31937" name="Check Box 193" hidden="1">
              <a:extLst>
                <a:ext uri="{63B3BB69-23CF-44E3-9099-C40C66FF867C}">
                  <a14:compatExt spid="_x0000_s31937"/>
                </a:ext>
                <a:ext uri="{FF2B5EF4-FFF2-40B4-BE49-F238E27FC236}">
                  <a16:creationId xmlns:a16="http://schemas.microsoft.com/office/drawing/2014/main" id="{00000000-0008-0000-0000-0000C1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97</xdr:row>
          <xdr:rowOff>19050</xdr:rowOff>
        </xdr:from>
        <xdr:to>
          <xdr:col>18</xdr:col>
          <xdr:colOff>323850</xdr:colOff>
          <xdr:row>97</xdr:row>
          <xdr:rowOff>238125</xdr:rowOff>
        </xdr:to>
        <xdr:sp macro="" textlink="">
          <xdr:nvSpPr>
            <xdr:cNvPr id="31938" name="Check Box 194" hidden="1">
              <a:extLst>
                <a:ext uri="{63B3BB69-23CF-44E3-9099-C40C66FF867C}">
                  <a14:compatExt spid="_x0000_s31938"/>
                </a:ext>
                <a:ext uri="{FF2B5EF4-FFF2-40B4-BE49-F238E27FC236}">
                  <a16:creationId xmlns:a16="http://schemas.microsoft.com/office/drawing/2014/main" id="{00000000-0008-0000-0000-0000C2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97</xdr:row>
          <xdr:rowOff>19050</xdr:rowOff>
        </xdr:from>
        <xdr:to>
          <xdr:col>26</xdr:col>
          <xdr:colOff>323850</xdr:colOff>
          <xdr:row>97</xdr:row>
          <xdr:rowOff>238125</xdr:rowOff>
        </xdr:to>
        <xdr:sp macro="" textlink="">
          <xdr:nvSpPr>
            <xdr:cNvPr id="31939" name="Check Box 195" hidden="1">
              <a:extLst>
                <a:ext uri="{63B3BB69-23CF-44E3-9099-C40C66FF867C}">
                  <a14:compatExt spid="_x0000_s31939"/>
                </a:ext>
                <a:ext uri="{FF2B5EF4-FFF2-40B4-BE49-F238E27FC236}">
                  <a16:creationId xmlns:a16="http://schemas.microsoft.com/office/drawing/2014/main" id="{00000000-0008-0000-0000-0000C3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97</xdr:row>
          <xdr:rowOff>19050</xdr:rowOff>
        </xdr:from>
        <xdr:to>
          <xdr:col>24</xdr:col>
          <xdr:colOff>323850</xdr:colOff>
          <xdr:row>97</xdr:row>
          <xdr:rowOff>238125</xdr:rowOff>
        </xdr:to>
        <xdr:sp macro="" textlink="">
          <xdr:nvSpPr>
            <xdr:cNvPr id="31940" name="Check Box 196" hidden="1">
              <a:extLst>
                <a:ext uri="{63B3BB69-23CF-44E3-9099-C40C66FF867C}">
                  <a14:compatExt spid="_x0000_s31940"/>
                </a:ext>
                <a:ext uri="{FF2B5EF4-FFF2-40B4-BE49-F238E27FC236}">
                  <a16:creationId xmlns:a16="http://schemas.microsoft.com/office/drawing/2014/main" id="{00000000-0008-0000-0000-0000C4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285750</xdr:colOff>
          <xdr:row>100</xdr:row>
          <xdr:rowOff>19050</xdr:rowOff>
        </xdr:from>
        <xdr:to>
          <xdr:col>15</xdr:col>
          <xdr:colOff>314325</xdr:colOff>
          <xdr:row>100</xdr:row>
          <xdr:rowOff>247650</xdr:rowOff>
        </xdr:to>
        <xdr:sp macro="" textlink="">
          <xdr:nvSpPr>
            <xdr:cNvPr id="31953" name="Drop Down 209" hidden="1">
              <a:extLst>
                <a:ext uri="{63B3BB69-23CF-44E3-9099-C40C66FF867C}">
                  <a14:compatExt spid="_x0000_s31953"/>
                </a:ext>
                <a:ext uri="{FF2B5EF4-FFF2-40B4-BE49-F238E27FC236}">
                  <a16:creationId xmlns:a16="http://schemas.microsoft.com/office/drawing/2014/main" id="{00000000-0008-0000-0000-0000D1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285750</xdr:colOff>
          <xdr:row>100</xdr:row>
          <xdr:rowOff>19050</xdr:rowOff>
        </xdr:from>
        <xdr:to>
          <xdr:col>22</xdr:col>
          <xdr:colOff>0</xdr:colOff>
          <xdr:row>100</xdr:row>
          <xdr:rowOff>247650</xdr:rowOff>
        </xdr:to>
        <xdr:sp macro="" textlink="">
          <xdr:nvSpPr>
            <xdr:cNvPr id="31956" name="Drop Down 212" hidden="1">
              <a:extLst>
                <a:ext uri="{63B3BB69-23CF-44E3-9099-C40C66FF867C}">
                  <a14:compatExt spid="_x0000_s31956"/>
                </a:ext>
                <a:ext uri="{FF2B5EF4-FFF2-40B4-BE49-F238E27FC236}">
                  <a16:creationId xmlns:a16="http://schemas.microsoft.com/office/drawing/2014/main" id="{00000000-0008-0000-0000-0000D4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276225</xdr:colOff>
          <xdr:row>100</xdr:row>
          <xdr:rowOff>9525</xdr:rowOff>
        </xdr:from>
        <xdr:to>
          <xdr:col>27</xdr:col>
          <xdr:colOff>323850</xdr:colOff>
          <xdr:row>100</xdr:row>
          <xdr:rowOff>238125</xdr:rowOff>
        </xdr:to>
        <xdr:sp macro="" textlink="">
          <xdr:nvSpPr>
            <xdr:cNvPr id="31957" name="Drop Down 213" hidden="1">
              <a:extLst>
                <a:ext uri="{63B3BB69-23CF-44E3-9099-C40C66FF867C}">
                  <a14:compatExt spid="_x0000_s31957"/>
                </a:ext>
                <a:ext uri="{FF2B5EF4-FFF2-40B4-BE49-F238E27FC236}">
                  <a16:creationId xmlns:a16="http://schemas.microsoft.com/office/drawing/2014/main" id="{00000000-0008-0000-0000-0000D5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120</xdr:row>
          <xdr:rowOff>19050</xdr:rowOff>
        </xdr:from>
        <xdr:to>
          <xdr:col>27</xdr:col>
          <xdr:colOff>323850</xdr:colOff>
          <xdr:row>120</xdr:row>
          <xdr:rowOff>238125</xdr:rowOff>
        </xdr:to>
        <xdr:sp macro="" textlink="">
          <xdr:nvSpPr>
            <xdr:cNvPr id="31963" name="Check Box 219" hidden="1">
              <a:extLst>
                <a:ext uri="{63B3BB69-23CF-44E3-9099-C40C66FF867C}">
                  <a14:compatExt spid="_x0000_s31963"/>
                </a:ext>
                <a:ext uri="{FF2B5EF4-FFF2-40B4-BE49-F238E27FC236}">
                  <a16:creationId xmlns:a16="http://schemas.microsoft.com/office/drawing/2014/main" id="{00000000-0008-0000-0000-0000DB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120</xdr:row>
          <xdr:rowOff>19050</xdr:rowOff>
        </xdr:from>
        <xdr:to>
          <xdr:col>25</xdr:col>
          <xdr:colOff>323850</xdr:colOff>
          <xdr:row>120</xdr:row>
          <xdr:rowOff>238125</xdr:rowOff>
        </xdr:to>
        <xdr:sp macro="" textlink="">
          <xdr:nvSpPr>
            <xdr:cNvPr id="31964" name="Check Box 220" hidden="1">
              <a:extLst>
                <a:ext uri="{63B3BB69-23CF-44E3-9099-C40C66FF867C}">
                  <a14:compatExt spid="_x0000_s31964"/>
                </a:ext>
                <a:ext uri="{FF2B5EF4-FFF2-40B4-BE49-F238E27FC236}">
                  <a16:creationId xmlns:a16="http://schemas.microsoft.com/office/drawing/2014/main" id="{00000000-0008-0000-0000-0000DC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121</xdr:row>
          <xdr:rowOff>19050</xdr:rowOff>
        </xdr:from>
        <xdr:to>
          <xdr:col>27</xdr:col>
          <xdr:colOff>323850</xdr:colOff>
          <xdr:row>121</xdr:row>
          <xdr:rowOff>238125</xdr:rowOff>
        </xdr:to>
        <xdr:sp macro="" textlink="">
          <xdr:nvSpPr>
            <xdr:cNvPr id="31965" name="Check Box 221" hidden="1">
              <a:extLst>
                <a:ext uri="{63B3BB69-23CF-44E3-9099-C40C66FF867C}">
                  <a14:compatExt spid="_x0000_s31965"/>
                </a:ext>
                <a:ext uri="{FF2B5EF4-FFF2-40B4-BE49-F238E27FC236}">
                  <a16:creationId xmlns:a16="http://schemas.microsoft.com/office/drawing/2014/main" id="{00000000-0008-0000-0000-0000DD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121</xdr:row>
          <xdr:rowOff>19050</xdr:rowOff>
        </xdr:from>
        <xdr:to>
          <xdr:col>25</xdr:col>
          <xdr:colOff>323850</xdr:colOff>
          <xdr:row>121</xdr:row>
          <xdr:rowOff>238125</xdr:rowOff>
        </xdr:to>
        <xdr:sp macro="" textlink="">
          <xdr:nvSpPr>
            <xdr:cNvPr id="31966" name="Check Box 222" hidden="1">
              <a:extLst>
                <a:ext uri="{63B3BB69-23CF-44E3-9099-C40C66FF867C}">
                  <a14:compatExt spid="_x0000_s31966"/>
                </a:ext>
                <a:ext uri="{FF2B5EF4-FFF2-40B4-BE49-F238E27FC236}">
                  <a16:creationId xmlns:a16="http://schemas.microsoft.com/office/drawing/2014/main" id="{00000000-0008-0000-0000-0000DE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122</xdr:row>
          <xdr:rowOff>19050</xdr:rowOff>
        </xdr:from>
        <xdr:to>
          <xdr:col>27</xdr:col>
          <xdr:colOff>323850</xdr:colOff>
          <xdr:row>122</xdr:row>
          <xdr:rowOff>238125</xdr:rowOff>
        </xdr:to>
        <xdr:sp macro="" textlink="">
          <xdr:nvSpPr>
            <xdr:cNvPr id="31967" name="Check Box 223" hidden="1">
              <a:extLst>
                <a:ext uri="{63B3BB69-23CF-44E3-9099-C40C66FF867C}">
                  <a14:compatExt spid="_x0000_s31967"/>
                </a:ext>
                <a:ext uri="{FF2B5EF4-FFF2-40B4-BE49-F238E27FC236}">
                  <a16:creationId xmlns:a16="http://schemas.microsoft.com/office/drawing/2014/main" id="{00000000-0008-0000-0000-0000DF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122</xdr:row>
          <xdr:rowOff>19050</xdr:rowOff>
        </xdr:from>
        <xdr:to>
          <xdr:col>25</xdr:col>
          <xdr:colOff>323850</xdr:colOff>
          <xdr:row>122</xdr:row>
          <xdr:rowOff>238125</xdr:rowOff>
        </xdr:to>
        <xdr:sp macro="" textlink="">
          <xdr:nvSpPr>
            <xdr:cNvPr id="31968" name="Check Box 224" hidden="1">
              <a:extLst>
                <a:ext uri="{63B3BB69-23CF-44E3-9099-C40C66FF867C}">
                  <a14:compatExt spid="_x0000_s31968"/>
                </a:ext>
                <a:ext uri="{FF2B5EF4-FFF2-40B4-BE49-F238E27FC236}">
                  <a16:creationId xmlns:a16="http://schemas.microsoft.com/office/drawing/2014/main" id="{00000000-0008-0000-0000-0000E0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323850</xdr:colOff>
          <xdr:row>122</xdr:row>
          <xdr:rowOff>9525</xdr:rowOff>
        </xdr:from>
        <xdr:to>
          <xdr:col>24</xdr:col>
          <xdr:colOff>219075</xdr:colOff>
          <xdr:row>122</xdr:row>
          <xdr:rowOff>238125</xdr:rowOff>
        </xdr:to>
        <xdr:sp macro="" textlink="">
          <xdr:nvSpPr>
            <xdr:cNvPr id="31969" name="Drop Down 225" hidden="1">
              <a:extLst>
                <a:ext uri="{63B3BB69-23CF-44E3-9099-C40C66FF867C}">
                  <a14:compatExt spid="_x0000_s31969"/>
                </a:ext>
                <a:ext uri="{FF2B5EF4-FFF2-40B4-BE49-F238E27FC236}">
                  <a16:creationId xmlns:a16="http://schemas.microsoft.com/office/drawing/2014/main" id="{00000000-0008-0000-0000-0000E1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323850</xdr:colOff>
          <xdr:row>120</xdr:row>
          <xdr:rowOff>9525</xdr:rowOff>
        </xdr:from>
        <xdr:to>
          <xdr:col>24</xdr:col>
          <xdr:colOff>219075</xdr:colOff>
          <xdr:row>120</xdr:row>
          <xdr:rowOff>238125</xdr:rowOff>
        </xdr:to>
        <xdr:sp macro="" textlink="">
          <xdr:nvSpPr>
            <xdr:cNvPr id="31970" name="Drop Down 226" hidden="1">
              <a:extLst>
                <a:ext uri="{63B3BB69-23CF-44E3-9099-C40C66FF867C}">
                  <a14:compatExt spid="_x0000_s31970"/>
                </a:ext>
                <a:ext uri="{FF2B5EF4-FFF2-40B4-BE49-F238E27FC236}">
                  <a16:creationId xmlns:a16="http://schemas.microsoft.com/office/drawing/2014/main" id="{00000000-0008-0000-0000-0000E2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323850</xdr:colOff>
          <xdr:row>121</xdr:row>
          <xdr:rowOff>9525</xdr:rowOff>
        </xdr:from>
        <xdr:to>
          <xdr:col>24</xdr:col>
          <xdr:colOff>219075</xdr:colOff>
          <xdr:row>121</xdr:row>
          <xdr:rowOff>238125</xdr:rowOff>
        </xdr:to>
        <xdr:sp macro="" textlink="">
          <xdr:nvSpPr>
            <xdr:cNvPr id="31971" name="Drop Down 227" hidden="1">
              <a:extLst>
                <a:ext uri="{63B3BB69-23CF-44E3-9099-C40C66FF867C}">
                  <a14:compatExt spid="_x0000_s31971"/>
                </a:ext>
                <a:ext uri="{FF2B5EF4-FFF2-40B4-BE49-F238E27FC236}">
                  <a16:creationId xmlns:a16="http://schemas.microsoft.com/office/drawing/2014/main" id="{00000000-0008-0000-0000-0000E3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323850</xdr:colOff>
          <xdr:row>119</xdr:row>
          <xdr:rowOff>9525</xdr:rowOff>
        </xdr:from>
        <xdr:to>
          <xdr:col>24</xdr:col>
          <xdr:colOff>219075</xdr:colOff>
          <xdr:row>119</xdr:row>
          <xdr:rowOff>238125</xdr:rowOff>
        </xdr:to>
        <xdr:sp macro="" textlink="">
          <xdr:nvSpPr>
            <xdr:cNvPr id="31972" name="Drop Down 228" hidden="1">
              <a:extLst>
                <a:ext uri="{63B3BB69-23CF-44E3-9099-C40C66FF867C}">
                  <a14:compatExt spid="_x0000_s31972"/>
                </a:ext>
                <a:ext uri="{FF2B5EF4-FFF2-40B4-BE49-F238E27FC236}">
                  <a16:creationId xmlns:a16="http://schemas.microsoft.com/office/drawing/2014/main" id="{00000000-0008-0000-0000-0000E4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119</xdr:row>
          <xdr:rowOff>19050</xdr:rowOff>
        </xdr:from>
        <xdr:to>
          <xdr:col>27</xdr:col>
          <xdr:colOff>323850</xdr:colOff>
          <xdr:row>119</xdr:row>
          <xdr:rowOff>238125</xdr:rowOff>
        </xdr:to>
        <xdr:sp macro="" textlink="">
          <xdr:nvSpPr>
            <xdr:cNvPr id="31973" name="Check Box 229" hidden="1">
              <a:extLst>
                <a:ext uri="{63B3BB69-23CF-44E3-9099-C40C66FF867C}">
                  <a14:compatExt spid="_x0000_s31973"/>
                </a:ext>
                <a:ext uri="{FF2B5EF4-FFF2-40B4-BE49-F238E27FC236}">
                  <a16:creationId xmlns:a16="http://schemas.microsoft.com/office/drawing/2014/main" id="{00000000-0008-0000-0000-0000E5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119</xdr:row>
          <xdr:rowOff>19050</xdr:rowOff>
        </xdr:from>
        <xdr:to>
          <xdr:col>25</xdr:col>
          <xdr:colOff>323850</xdr:colOff>
          <xdr:row>119</xdr:row>
          <xdr:rowOff>238125</xdr:rowOff>
        </xdr:to>
        <xdr:sp macro="" textlink="">
          <xdr:nvSpPr>
            <xdr:cNvPr id="31974" name="Check Box 230" hidden="1">
              <a:extLst>
                <a:ext uri="{63B3BB69-23CF-44E3-9099-C40C66FF867C}">
                  <a14:compatExt spid="_x0000_s31974"/>
                </a:ext>
                <a:ext uri="{FF2B5EF4-FFF2-40B4-BE49-F238E27FC236}">
                  <a16:creationId xmlns:a16="http://schemas.microsoft.com/office/drawing/2014/main" id="{00000000-0008-0000-0000-0000E6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121</xdr:row>
          <xdr:rowOff>19050</xdr:rowOff>
        </xdr:from>
        <xdr:to>
          <xdr:col>13</xdr:col>
          <xdr:colOff>323850</xdr:colOff>
          <xdr:row>121</xdr:row>
          <xdr:rowOff>238125</xdr:rowOff>
        </xdr:to>
        <xdr:sp macro="" textlink="">
          <xdr:nvSpPr>
            <xdr:cNvPr id="31975" name="Check Box 231" hidden="1">
              <a:extLst>
                <a:ext uri="{63B3BB69-23CF-44E3-9099-C40C66FF867C}">
                  <a14:compatExt spid="_x0000_s31975"/>
                </a:ext>
                <a:ext uri="{FF2B5EF4-FFF2-40B4-BE49-F238E27FC236}">
                  <a16:creationId xmlns:a16="http://schemas.microsoft.com/office/drawing/2014/main" id="{00000000-0008-0000-0000-0000E7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121</xdr:row>
          <xdr:rowOff>19050</xdr:rowOff>
        </xdr:from>
        <xdr:to>
          <xdr:col>11</xdr:col>
          <xdr:colOff>323850</xdr:colOff>
          <xdr:row>121</xdr:row>
          <xdr:rowOff>238125</xdr:rowOff>
        </xdr:to>
        <xdr:sp macro="" textlink="">
          <xdr:nvSpPr>
            <xdr:cNvPr id="31976" name="Check Box 232" hidden="1">
              <a:extLst>
                <a:ext uri="{63B3BB69-23CF-44E3-9099-C40C66FF867C}">
                  <a14:compatExt spid="_x0000_s31976"/>
                </a:ext>
                <a:ext uri="{FF2B5EF4-FFF2-40B4-BE49-F238E27FC236}">
                  <a16:creationId xmlns:a16="http://schemas.microsoft.com/office/drawing/2014/main" id="{00000000-0008-0000-0000-0000E8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120</xdr:row>
          <xdr:rowOff>19050</xdr:rowOff>
        </xdr:from>
        <xdr:to>
          <xdr:col>13</xdr:col>
          <xdr:colOff>323850</xdr:colOff>
          <xdr:row>120</xdr:row>
          <xdr:rowOff>238125</xdr:rowOff>
        </xdr:to>
        <xdr:sp macro="" textlink="">
          <xdr:nvSpPr>
            <xdr:cNvPr id="31978" name="Check Box 234" hidden="1">
              <a:extLst>
                <a:ext uri="{63B3BB69-23CF-44E3-9099-C40C66FF867C}">
                  <a14:compatExt spid="_x0000_s31978"/>
                </a:ext>
                <a:ext uri="{FF2B5EF4-FFF2-40B4-BE49-F238E27FC236}">
                  <a16:creationId xmlns:a16="http://schemas.microsoft.com/office/drawing/2014/main" id="{00000000-0008-0000-0000-0000EA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120</xdr:row>
          <xdr:rowOff>19050</xdr:rowOff>
        </xdr:from>
        <xdr:to>
          <xdr:col>11</xdr:col>
          <xdr:colOff>323850</xdr:colOff>
          <xdr:row>120</xdr:row>
          <xdr:rowOff>238125</xdr:rowOff>
        </xdr:to>
        <xdr:sp macro="" textlink="">
          <xdr:nvSpPr>
            <xdr:cNvPr id="31979" name="Check Box 235" hidden="1">
              <a:extLst>
                <a:ext uri="{63B3BB69-23CF-44E3-9099-C40C66FF867C}">
                  <a14:compatExt spid="_x0000_s31979"/>
                </a:ext>
                <a:ext uri="{FF2B5EF4-FFF2-40B4-BE49-F238E27FC236}">
                  <a16:creationId xmlns:a16="http://schemas.microsoft.com/office/drawing/2014/main" id="{00000000-0008-0000-0000-0000EB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125</xdr:row>
          <xdr:rowOff>19050</xdr:rowOff>
        </xdr:from>
        <xdr:to>
          <xdr:col>16</xdr:col>
          <xdr:colOff>0</xdr:colOff>
          <xdr:row>125</xdr:row>
          <xdr:rowOff>247650</xdr:rowOff>
        </xdr:to>
        <xdr:sp macro="" textlink="">
          <xdr:nvSpPr>
            <xdr:cNvPr id="31980" name="Drop Down 236" hidden="1">
              <a:extLst>
                <a:ext uri="{63B3BB69-23CF-44E3-9099-C40C66FF867C}">
                  <a14:compatExt spid="_x0000_s31980"/>
                </a:ext>
                <a:ext uri="{FF2B5EF4-FFF2-40B4-BE49-F238E27FC236}">
                  <a16:creationId xmlns:a16="http://schemas.microsoft.com/office/drawing/2014/main" id="{00000000-0008-0000-0000-0000EC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125</xdr:row>
          <xdr:rowOff>19050</xdr:rowOff>
        </xdr:from>
        <xdr:to>
          <xdr:col>28</xdr:col>
          <xdr:colOff>0</xdr:colOff>
          <xdr:row>125</xdr:row>
          <xdr:rowOff>247650</xdr:rowOff>
        </xdr:to>
        <xdr:sp macro="" textlink="">
          <xdr:nvSpPr>
            <xdr:cNvPr id="31981" name="Drop Down 237" hidden="1">
              <a:extLst>
                <a:ext uri="{63B3BB69-23CF-44E3-9099-C40C66FF867C}">
                  <a14:compatExt spid="_x0000_s31981"/>
                </a:ext>
                <a:ext uri="{FF2B5EF4-FFF2-40B4-BE49-F238E27FC236}">
                  <a16:creationId xmlns:a16="http://schemas.microsoft.com/office/drawing/2014/main" id="{00000000-0008-0000-0000-0000ED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125</xdr:row>
          <xdr:rowOff>19050</xdr:rowOff>
        </xdr:from>
        <xdr:to>
          <xdr:col>22</xdr:col>
          <xdr:colOff>0</xdr:colOff>
          <xdr:row>125</xdr:row>
          <xdr:rowOff>247650</xdr:rowOff>
        </xdr:to>
        <xdr:sp macro="" textlink="">
          <xdr:nvSpPr>
            <xdr:cNvPr id="31982" name="Drop Down 238" hidden="1">
              <a:extLst>
                <a:ext uri="{63B3BB69-23CF-44E3-9099-C40C66FF867C}">
                  <a14:compatExt spid="_x0000_s31982"/>
                </a:ext>
                <a:ext uri="{FF2B5EF4-FFF2-40B4-BE49-F238E27FC236}">
                  <a16:creationId xmlns:a16="http://schemas.microsoft.com/office/drawing/2014/main" id="{00000000-0008-0000-0000-0000EE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128</xdr:row>
          <xdr:rowOff>9525</xdr:rowOff>
        </xdr:from>
        <xdr:to>
          <xdr:col>16</xdr:col>
          <xdr:colOff>0</xdr:colOff>
          <xdr:row>128</xdr:row>
          <xdr:rowOff>238125</xdr:rowOff>
        </xdr:to>
        <xdr:sp macro="" textlink="">
          <xdr:nvSpPr>
            <xdr:cNvPr id="31983" name="Drop Down 239" hidden="1">
              <a:extLst>
                <a:ext uri="{63B3BB69-23CF-44E3-9099-C40C66FF867C}">
                  <a14:compatExt spid="_x0000_s31983"/>
                </a:ext>
                <a:ext uri="{FF2B5EF4-FFF2-40B4-BE49-F238E27FC236}">
                  <a16:creationId xmlns:a16="http://schemas.microsoft.com/office/drawing/2014/main" id="{00000000-0008-0000-0000-0000EF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128</xdr:row>
          <xdr:rowOff>9525</xdr:rowOff>
        </xdr:from>
        <xdr:to>
          <xdr:col>22</xdr:col>
          <xdr:colOff>0</xdr:colOff>
          <xdr:row>128</xdr:row>
          <xdr:rowOff>238125</xdr:rowOff>
        </xdr:to>
        <xdr:sp macro="" textlink="">
          <xdr:nvSpPr>
            <xdr:cNvPr id="31984" name="Drop Down 240" hidden="1">
              <a:extLst>
                <a:ext uri="{63B3BB69-23CF-44E3-9099-C40C66FF867C}">
                  <a14:compatExt spid="_x0000_s31984"/>
                </a:ext>
                <a:ext uri="{FF2B5EF4-FFF2-40B4-BE49-F238E27FC236}">
                  <a16:creationId xmlns:a16="http://schemas.microsoft.com/office/drawing/2014/main" id="{00000000-0008-0000-0000-0000F0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128</xdr:row>
          <xdr:rowOff>9525</xdr:rowOff>
        </xdr:from>
        <xdr:to>
          <xdr:col>28</xdr:col>
          <xdr:colOff>0</xdr:colOff>
          <xdr:row>128</xdr:row>
          <xdr:rowOff>238125</xdr:rowOff>
        </xdr:to>
        <xdr:sp macro="" textlink="">
          <xdr:nvSpPr>
            <xdr:cNvPr id="31985" name="Drop Down 241" hidden="1">
              <a:extLst>
                <a:ext uri="{63B3BB69-23CF-44E3-9099-C40C66FF867C}">
                  <a14:compatExt spid="_x0000_s31985"/>
                </a:ext>
                <a:ext uri="{FF2B5EF4-FFF2-40B4-BE49-F238E27FC236}">
                  <a16:creationId xmlns:a16="http://schemas.microsoft.com/office/drawing/2014/main" id="{00000000-0008-0000-0000-0000F1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131</xdr:row>
          <xdr:rowOff>19050</xdr:rowOff>
        </xdr:from>
        <xdr:to>
          <xdr:col>16</xdr:col>
          <xdr:colOff>0</xdr:colOff>
          <xdr:row>131</xdr:row>
          <xdr:rowOff>247650</xdr:rowOff>
        </xdr:to>
        <xdr:sp macro="" textlink="">
          <xdr:nvSpPr>
            <xdr:cNvPr id="31986" name="Drop Down 242" hidden="1">
              <a:extLst>
                <a:ext uri="{63B3BB69-23CF-44E3-9099-C40C66FF867C}">
                  <a14:compatExt spid="_x0000_s31986"/>
                </a:ext>
                <a:ext uri="{FF2B5EF4-FFF2-40B4-BE49-F238E27FC236}">
                  <a16:creationId xmlns:a16="http://schemas.microsoft.com/office/drawing/2014/main" id="{00000000-0008-0000-0000-0000F2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131</xdr:row>
          <xdr:rowOff>19050</xdr:rowOff>
        </xdr:from>
        <xdr:to>
          <xdr:col>22</xdr:col>
          <xdr:colOff>0</xdr:colOff>
          <xdr:row>131</xdr:row>
          <xdr:rowOff>247650</xdr:rowOff>
        </xdr:to>
        <xdr:sp macro="" textlink="">
          <xdr:nvSpPr>
            <xdr:cNvPr id="31987" name="Drop Down 243" hidden="1">
              <a:extLst>
                <a:ext uri="{63B3BB69-23CF-44E3-9099-C40C66FF867C}">
                  <a14:compatExt spid="_x0000_s31987"/>
                </a:ext>
                <a:ext uri="{FF2B5EF4-FFF2-40B4-BE49-F238E27FC236}">
                  <a16:creationId xmlns:a16="http://schemas.microsoft.com/office/drawing/2014/main" id="{00000000-0008-0000-0000-0000F3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131</xdr:row>
          <xdr:rowOff>19050</xdr:rowOff>
        </xdr:from>
        <xdr:to>
          <xdr:col>27</xdr:col>
          <xdr:colOff>323850</xdr:colOff>
          <xdr:row>131</xdr:row>
          <xdr:rowOff>247650</xdr:rowOff>
        </xdr:to>
        <xdr:sp macro="" textlink="">
          <xdr:nvSpPr>
            <xdr:cNvPr id="31988" name="Drop Down 244" hidden="1">
              <a:extLst>
                <a:ext uri="{63B3BB69-23CF-44E3-9099-C40C66FF867C}">
                  <a14:compatExt spid="_x0000_s31988"/>
                </a:ext>
                <a:ext uri="{FF2B5EF4-FFF2-40B4-BE49-F238E27FC236}">
                  <a16:creationId xmlns:a16="http://schemas.microsoft.com/office/drawing/2014/main" id="{00000000-0008-0000-0000-0000F4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135</xdr:row>
          <xdr:rowOff>9525</xdr:rowOff>
        </xdr:from>
        <xdr:to>
          <xdr:col>16</xdr:col>
          <xdr:colOff>0</xdr:colOff>
          <xdr:row>135</xdr:row>
          <xdr:rowOff>238125</xdr:rowOff>
        </xdr:to>
        <xdr:sp macro="" textlink="">
          <xdr:nvSpPr>
            <xdr:cNvPr id="31989" name="Drop Down 245" hidden="1">
              <a:extLst>
                <a:ext uri="{63B3BB69-23CF-44E3-9099-C40C66FF867C}">
                  <a14:compatExt spid="_x0000_s31989"/>
                </a:ext>
                <a:ext uri="{FF2B5EF4-FFF2-40B4-BE49-F238E27FC236}">
                  <a16:creationId xmlns:a16="http://schemas.microsoft.com/office/drawing/2014/main" id="{00000000-0008-0000-0000-0000F5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135</xdr:row>
          <xdr:rowOff>9525</xdr:rowOff>
        </xdr:from>
        <xdr:to>
          <xdr:col>22</xdr:col>
          <xdr:colOff>0</xdr:colOff>
          <xdr:row>135</xdr:row>
          <xdr:rowOff>238125</xdr:rowOff>
        </xdr:to>
        <xdr:sp macro="" textlink="">
          <xdr:nvSpPr>
            <xdr:cNvPr id="31990" name="Drop Down 246" hidden="1">
              <a:extLst>
                <a:ext uri="{63B3BB69-23CF-44E3-9099-C40C66FF867C}">
                  <a14:compatExt spid="_x0000_s31990"/>
                </a:ext>
                <a:ext uri="{FF2B5EF4-FFF2-40B4-BE49-F238E27FC236}">
                  <a16:creationId xmlns:a16="http://schemas.microsoft.com/office/drawing/2014/main" id="{00000000-0008-0000-0000-0000F6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135</xdr:row>
          <xdr:rowOff>9525</xdr:rowOff>
        </xdr:from>
        <xdr:to>
          <xdr:col>28</xdr:col>
          <xdr:colOff>0</xdr:colOff>
          <xdr:row>135</xdr:row>
          <xdr:rowOff>238125</xdr:rowOff>
        </xdr:to>
        <xdr:sp macro="" textlink="">
          <xdr:nvSpPr>
            <xdr:cNvPr id="31991" name="Drop Down 247" hidden="1">
              <a:extLst>
                <a:ext uri="{63B3BB69-23CF-44E3-9099-C40C66FF867C}">
                  <a14:compatExt spid="_x0000_s31991"/>
                </a:ext>
                <a:ext uri="{FF2B5EF4-FFF2-40B4-BE49-F238E27FC236}">
                  <a16:creationId xmlns:a16="http://schemas.microsoft.com/office/drawing/2014/main" id="{00000000-0008-0000-0000-0000F7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140</xdr:row>
          <xdr:rowOff>19050</xdr:rowOff>
        </xdr:from>
        <xdr:to>
          <xdr:col>13</xdr:col>
          <xdr:colOff>323850</xdr:colOff>
          <xdr:row>140</xdr:row>
          <xdr:rowOff>238125</xdr:rowOff>
        </xdr:to>
        <xdr:sp macro="" textlink="">
          <xdr:nvSpPr>
            <xdr:cNvPr id="31999" name="Check Box 255" hidden="1">
              <a:extLst>
                <a:ext uri="{63B3BB69-23CF-44E3-9099-C40C66FF867C}">
                  <a14:compatExt spid="_x0000_s31999"/>
                </a:ext>
                <a:ext uri="{FF2B5EF4-FFF2-40B4-BE49-F238E27FC236}">
                  <a16:creationId xmlns:a16="http://schemas.microsoft.com/office/drawing/2014/main" id="{00000000-0008-0000-0000-0000FF7C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140</xdr:row>
          <xdr:rowOff>19050</xdr:rowOff>
        </xdr:from>
        <xdr:to>
          <xdr:col>11</xdr:col>
          <xdr:colOff>323850</xdr:colOff>
          <xdr:row>140</xdr:row>
          <xdr:rowOff>238125</xdr:rowOff>
        </xdr:to>
        <xdr:sp macro="" textlink="">
          <xdr:nvSpPr>
            <xdr:cNvPr id="32000" name="Check Box 256" hidden="1">
              <a:extLst>
                <a:ext uri="{63B3BB69-23CF-44E3-9099-C40C66FF867C}">
                  <a14:compatExt spid="_x0000_s32000"/>
                </a:ext>
                <a:ext uri="{FF2B5EF4-FFF2-40B4-BE49-F238E27FC236}">
                  <a16:creationId xmlns:a16="http://schemas.microsoft.com/office/drawing/2014/main" id="{00000000-0008-0000-0000-000000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143</xdr:row>
          <xdr:rowOff>19050</xdr:rowOff>
        </xdr:from>
        <xdr:to>
          <xdr:col>13</xdr:col>
          <xdr:colOff>323850</xdr:colOff>
          <xdr:row>143</xdr:row>
          <xdr:rowOff>238125</xdr:rowOff>
        </xdr:to>
        <xdr:sp macro="" textlink="">
          <xdr:nvSpPr>
            <xdr:cNvPr id="32001" name="Check Box 257" hidden="1">
              <a:extLst>
                <a:ext uri="{63B3BB69-23CF-44E3-9099-C40C66FF867C}">
                  <a14:compatExt spid="_x0000_s32001"/>
                </a:ext>
                <a:ext uri="{FF2B5EF4-FFF2-40B4-BE49-F238E27FC236}">
                  <a16:creationId xmlns:a16="http://schemas.microsoft.com/office/drawing/2014/main" id="{00000000-0008-0000-0000-000001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143</xdr:row>
          <xdr:rowOff>19050</xdr:rowOff>
        </xdr:from>
        <xdr:to>
          <xdr:col>11</xdr:col>
          <xdr:colOff>323850</xdr:colOff>
          <xdr:row>143</xdr:row>
          <xdr:rowOff>238125</xdr:rowOff>
        </xdr:to>
        <xdr:sp macro="" textlink="">
          <xdr:nvSpPr>
            <xdr:cNvPr id="32002" name="Check Box 258" hidden="1">
              <a:extLst>
                <a:ext uri="{63B3BB69-23CF-44E3-9099-C40C66FF867C}">
                  <a14:compatExt spid="_x0000_s32002"/>
                </a:ext>
                <a:ext uri="{FF2B5EF4-FFF2-40B4-BE49-F238E27FC236}">
                  <a16:creationId xmlns:a16="http://schemas.microsoft.com/office/drawing/2014/main" id="{00000000-0008-0000-0000-000002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142</xdr:row>
          <xdr:rowOff>19050</xdr:rowOff>
        </xdr:from>
        <xdr:to>
          <xdr:col>27</xdr:col>
          <xdr:colOff>323850</xdr:colOff>
          <xdr:row>142</xdr:row>
          <xdr:rowOff>238125</xdr:rowOff>
        </xdr:to>
        <xdr:sp macro="" textlink="">
          <xdr:nvSpPr>
            <xdr:cNvPr id="32003" name="Check Box 259" hidden="1">
              <a:extLst>
                <a:ext uri="{63B3BB69-23CF-44E3-9099-C40C66FF867C}">
                  <a14:compatExt spid="_x0000_s32003"/>
                </a:ext>
                <a:ext uri="{FF2B5EF4-FFF2-40B4-BE49-F238E27FC236}">
                  <a16:creationId xmlns:a16="http://schemas.microsoft.com/office/drawing/2014/main" id="{00000000-0008-0000-0000-000003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142</xdr:row>
          <xdr:rowOff>19050</xdr:rowOff>
        </xdr:from>
        <xdr:to>
          <xdr:col>25</xdr:col>
          <xdr:colOff>323850</xdr:colOff>
          <xdr:row>142</xdr:row>
          <xdr:rowOff>238125</xdr:rowOff>
        </xdr:to>
        <xdr:sp macro="" textlink="">
          <xdr:nvSpPr>
            <xdr:cNvPr id="32004" name="Check Box 260" hidden="1">
              <a:extLst>
                <a:ext uri="{63B3BB69-23CF-44E3-9099-C40C66FF867C}">
                  <a14:compatExt spid="_x0000_s32004"/>
                </a:ext>
                <a:ext uri="{FF2B5EF4-FFF2-40B4-BE49-F238E27FC236}">
                  <a16:creationId xmlns:a16="http://schemas.microsoft.com/office/drawing/2014/main" id="{00000000-0008-0000-0000-000004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140</xdr:row>
          <xdr:rowOff>19050</xdr:rowOff>
        </xdr:from>
        <xdr:to>
          <xdr:col>27</xdr:col>
          <xdr:colOff>323850</xdr:colOff>
          <xdr:row>140</xdr:row>
          <xdr:rowOff>238125</xdr:rowOff>
        </xdr:to>
        <xdr:sp macro="" textlink="">
          <xdr:nvSpPr>
            <xdr:cNvPr id="32005" name="Check Box 261" hidden="1">
              <a:extLst>
                <a:ext uri="{63B3BB69-23CF-44E3-9099-C40C66FF867C}">
                  <a14:compatExt spid="_x0000_s32005"/>
                </a:ext>
                <a:ext uri="{FF2B5EF4-FFF2-40B4-BE49-F238E27FC236}">
                  <a16:creationId xmlns:a16="http://schemas.microsoft.com/office/drawing/2014/main" id="{00000000-0008-0000-0000-000005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140</xdr:row>
          <xdr:rowOff>19050</xdr:rowOff>
        </xdr:from>
        <xdr:to>
          <xdr:col>25</xdr:col>
          <xdr:colOff>323850</xdr:colOff>
          <xdr:row>140</xdr:row>
          <xdr:rowOff>238125</xdr:rowOff>
        </xdr:to>
        <xdr:sp macro="" textlink="">
          <xdr:nvSpPr>
            <xdr:cNvPr id="32006" name="Check Box 262" hidden="1">
              <a:extLst>
                <a:ext uri="{63B3BB69-23CF-44E3-9099-C40C66FF867C}">
                  <a14:compatExt spid="_x0000_s32006"/>
                </a:ext>
                <a:ext uri="{FF2B5EF4-FFF2-40B4-BE49-F238E27FC236}">
                  <a16:creationId xmlns:a16="http://schemas.microsoft.com/office/drawing/2014/main" id="{00000000-0008-0000-0000-000006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146</xdr:row>
          <xdr:rowOff>19050</xdr:rowOff>
        </xdr:from>
        <xdr:to>
          <xdr:col>13</xdr:col>
          <xdr:colOff>323850</xdr:colOff>
          <xdr:row>146</xdr:row>
          <xdr:rowOff>238125</xdr:rowOff>
        </xdr:to>
        <xdr:sp macro="" textlink="">
          <xdr:nvSpPr>
            <xdr:cNvPr id="32007" name="Check Box 263" hidden="1">
              <a:extLst>
                <a:ext uri="{63B3BB69-23CF-44E3-9099-C40C66FF867C}">
                  <a14:compatExt spid="_x0000_s32007"/>
                </a:ext>
                <a:ext uri="{FF2B5EF4-FFF2-40B4-BE49-F238E27FC236}">
                  <a16:creationId xmlns:a16="http://schemas.microsoft.com/office/drawing/2014/main" id="{00000000-0008-0000-0000-000007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146</xdr:row>
          <xdr:rowOff>19050</xdr:rowOff>
        </xdr:from>
        <xdr:to>
          <xdr:col>11</xdr:col>
          <xdr:colOff>323850</xdr:colOff>
          <xdr:row>146</xdr:row>
          <xdr:rowOff>238125</xdr:rowOff>
        </xdr:to>
        <xdr:sp macro="" textlink="">
          <xdr:nvSpPr>
            <xdr:cNvPr id="32008" name="Check Box 264" hidden="1">
              <a:extLst>
                <a:ext uri="{63B3BB69-23CF-44E3-9099-C40C66FF867C}">
                  <a14:compatExt spid="_x0000_s32008"/>
                </a:ext>
                <a:ext uri="{FF2B5EF4-FFF2-40B4-BE49-F238E27FC236}">
                  <a16:creationId xmlns:a16="http://schemas.microsoft.com/office/drawing/2014/main" id="{00000000-0008-0000-0000-000008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149</xdr:row>
          <xdr:rowOff>19050</xdr:rowOff>
        </xdr:from>
        <xdr:to>
          <xdr:col>13</xdr:col>
          <xdr:colOff>323850</xdr:colOff>
          <xdr:row>149</xdr:row>
          <xdr:rowOff>238125</xdr:rowOff>
        </xdr:to>
        <xdr:sp macro="" textlink="">
          <xdr:nvSpPr>
            <xdr:cNvPr id="32009" name="Check Box 265" hidden="1">
              <a:extLst>
                <a:ext uri="{63B3BB69-23CF-44E3-9099-C40C66FF867C}">
                  <a14:compatExt spid="_x0000_s32009"/>
                </a:ext>
                <a:ext uri="{FF2B5EF4-FFF2-40B4-BE49-F238E27FC236}">
                  <a16:creationId xmlns:a16="http://schemas.microsoft.com/office/drawing/2014/main" id="{00000000-0008-0000-0000-000009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149</xdr:row>
          <xdr:rowOff>19050</xdr:rowOff>
        </xdr:from>
        <xdr:to>
          <xdr:col>11</xdr:col>
          <xdr:colOff>323850</xdr:colOff>
          <xdr:row>149</xdr:row>
          <xdr:rowOff>238125</xdr:rowOff>
        </xdr:to>
        <xdr:sp macro="" textlink="">
          <xdr:nvSpPr>
            <xdr:cNvPr id="32010" name="Check Box 266" hidden="1">
              <a:extLst>
                <a:ext uri="{63B3BB69-23CF-44E3-9099-C40C66FF867C}">
                  <a14:compatExt spid="_x0000_s32010"/>
                </a:ext>
                <a:ext uri="{FF2B5EF4-FFF2-40B4-BE49-F238E27FC236}">
                  <a16:creationId xmlns:a16="http://schemas.microsoft.com/office/drawing/2014/main" id="{00000000-0008-0000-0000-00000A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155</xdr:row>
          <xdr:rowOff>19050</xdr:rowOff>
        </xdr:from>
        <xdr:to>
          <xdr:col>11</xdr:col>
          <xdr:colOff>323850</xdr:colOff>
          <xdr:row>155</xdr:row>
          <xdr:rowOff>238125</xdr:rowOff>
        </xdr:to>
        <xdr:sp macro="" textlink="">
          <xdr:nvSpPr>
            <xdr:cNvPr id="32011" name="Check Box 267" hidden="1">
              <a:extLst>
                <a:ext uri="{63B3BB69-23CF-44E3-9099-C40C66FF867C}">
                  <a14:compatExt spid="_x0000_s32011"/>
                </a:ext>
                <a:ext uri="{FF2B5EF4-FFF2-40B4-BE49-F238E27FC236}">
                  <a16:creationId xmlns:a16="http://schemas.microsoft.com/office/drawing/2014/main" id="{00000000-0008-0000-0000-00000B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157</xdr:row>
          <xdr:rowOff>19050</xdr:rowOff>
        </xdr:from>
        <xdr:to>
          <xdr:col>13</xdr:col>
          <xdr:colOff>323850</xdr:colOff>
          <xdr:row>157</xdr:row>
          <xdr:rowOff>238125</xdr:rowOff>
        </xdr:to>
        <xdr:sp macro="" textlink="">
          <xdr:nvSpPr>
            <xdr:cNvPr id="32012" name="Check Box 268" hidden="1">
              <a:extLst>
                <a:ext uri="{63B3BB69-23CF-44E3-9099-C40C66FF867C}">
                  <a14:compatExt spid="_x0000_s32012"/>
                </a:ext>
                <a:ext uri="{FF2B5EF4-FFF2-40B4-BE49-F238E27FC236}">
                  <a16:creationId xmlns:a16="http://schemas.microsoft.com/office/drawing/2014/main" id="{00000000-0008-0000-0000-00000C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157</xdr:row>
          <xdr:rowOff>19050</xdr:rowOff>
        </xdr:from>
        <xdr:to>
          <xdr:col>11</xdr:col>
          <xdr:colOff>323850</xdr:colOff>
          <xdr:row>157</xdr:row>
          <xdr:rowOff>238125</xdr:rowOff>
        </xdr:to>
        <xdr:sp macro="" textlink="">
          <xdr:nvSpPr>
            <xdr:cNvPr id="32013" name="Check Box 269" hidden="1">
              <a:extLst>
                <a:ext uri="{63B3BB69-23CF-44E3-9099-C40C66FF867C}">
                  <a14:compatExt spid="_x0000_s32013"/>
                </a:ext>
                <a:ext uri="{FF2B5EF4-FFF2-40B4-BE49-F238E27FC236}">
                  <a16:creationId xmlns:a16="http://schemas.microsoft.com/office/drawing/2014/main" id="{00000000-0008-0000-0000-00000D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157</xdr:row>
          <xdr:rowOff>19050</xdr:rowOff>
        </xdr:from>
        <xdr:to>
          <xdr:col>27</xdr:col>
          <xdr:colOff>323850</xdr:colOff>
          <xdr:row>157</xdr:row>
          <xdr:rowOff>238125</xdr:rowOff>
        </xdr:to>
        <xdr:sp macro="" textlink="">
          <xdr:nvSpPr>
            <xdr:cNvPr id="32014" name="Check Box 270" hidden="1">
              <a:extLst>
                <a:ext uri="{63B3BB69-23CF-44E3-9099-C40C66FF867C}">
                  <a14:compatExt spid="_x0000_s32014"/>
                </a:ext>
                <a:ext uri="{FF2B5EF4-FFF2-40B4-BE49-F238E27FC236}">
                  <a16:creationId xmlns:a16="http://schemas.microsoft.com/office/drawing/2014/main" id="{00000000-0008-0000-0000-00000E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157</xdr:row>
          <xdr:rowOff>19050</xdr:rowOff>
        </xdr:from>
        <xdr:to>
          <xdr:col>25</xdr:col>
          <xdr:colOff>323850</xdr:colOff>
          <xdr:row>157</xdr:row>
          <xdr:rowOff>238125</xdr:rowOff>
        </xdr:to>
        <xdr:sp macro="" textlink="">
          <xdr:nvSpPr>
            <xdr:cNvPr id="32015" name="Check Box 271" hidden="1">
              <a:extLst>
                <a:ext uri="{63B3BB69-23CF-44E3-9099-C40C66FF867C}">
                  <a14:compatExt spid="_x0000_s32015"/>
                </a:ext>
                <a:ext uri="{FF2B5EF4-FFF2-40B4-BE49-F238E27FC236}">
                  <a16:creationId xmlns:a16="http://schemas.microsoft.com/office/drawing/2014/main" id="{00000000-0008-0000-0000-00000F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158</xdr:row>
          <xdr:rowOff>19050</xdr:rowOff>
        </xdr:from>
        <xdr:to>
          <xdr:col>27</xdr:col>
          <xdr:colOff>323850</xdr:colOff>
          <xdr:row>158</xdr:row>
          <xdr:rowOff>238125</xdr:rowOff>
        </xdr:to>
        <xdr:sp macro="" textlink="">
          <xdr:nvSpPr>
            <xdr:cNvPr id="32016" name="Check Box 272" hidden="1">
              <a:extLst>
                <a:ext uri="{63B3BB69-23CF-44E3-9099-C40C66FF867C}">
                  <a14:compatExt spid="_x0000_s32016"/>
                </a:ext>
                <a:ext uri="{FF2B5EF4-FFF2-40B4-BE49-F238E27FC236}">
                  <a16:creationId xmlns:a16="http://schemas.microsoft.com/office/drawing/2014/main" id="{00000000-0008-0000-0000-000010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158</xdr:row>
          <xdr:rowOff>19050</xdr:rowOff>
        </xdr:from>
        <xdr:to>
          <xdr:col>25</xdr:col>
          <xdr:colOff>323850</xdr:colOff>
          <xdr:row>158</xdr:row>
          <xdr:rowOff>238125</xdr:rowOff>
        </xdr:to>
        <xdr:sp macro="" textlink="">
          <xdr:nvSpPr>
            <xdr:cNvPr id="32017" name="Check Box 273" hidden="1">
              <a:extLst>
                <a:ext uri="{63B3BB69-23CF-44E3-9099-C40C66FF867C}">
                  <a14:compatExt spid="_x0000_s32017"/>
                </a:ext>
                <a:ext uri="{FF2B5EF4-FFF2-40B4-BE49-F238E27FC236}">
                  <a16:creationId xmlns:a16="http://schemas.microsoft.com/office/drawing/2014/main" id="{00000000-0008-0000-0000-000011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150</xdr:row>
          <xdr:rowOff>19050</xdr:rowOff>
        </xdr:from>
        <xdr:to>
          <xdr:col>27</xdr:col>
          <xdr:colOff>323850</xdr:colOff>
          <xdr:row>150</xdr:row>
          <xdr:rowOff>238125</xdr:rowOff>
        </xdr:to>
        <xdr:sp macro="" textlink="">
          <xdr:nvSpPr>
            <xdr:cNvPr id="32018" name="Check Box 274" hidden="1">
              <a:extLst>
                <a:ext uri="{63B3BB69-23CF-44E3-9099-C40C66FF867C}">
                  <a14:compatExt spid="_x0000_s32018"/>
                </a:ext>
                <a:ext uri="{FF2B5EF4-FFF2-40B4-BE49-F238E27FC236}">
                  <a16:creationId xmlns:a16="http://schemas.microsoft.com/office/drawing/2014/main" id="{00000000-0008-0000-0000-000012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150</xdr:row>
          <xdr:rowOff>19050</xdr:rowOff>
        </xdr:from>
        <xdr:to>
          <xdr:col>25</xdr:col>
          <xdr:colOff>323850</xdr:colOff>
          <xdr:row>150</xdr:row>
          <xdr:rowOff>238125</xdr:rowOff>
        </xdr:to>
        <xdr:sp macro="" textlink="">
          <xdr:nvSpPr>
            <xdr:cNvPr id="32019" name="Check Box 275" hidden="1">
              <a:extLst>
                <a:ext uri="{63B3BB69-23CF-44E3-9099-C40C66FF867C}">
                  <a14:compatExt spid="_x0000_s32019"/>
                </a:ext>
                <a:ext uri="{FF2B5EF4-FFF2-40B4-BE49-F238E27FC236}">
                  <a16:creationId xmlns:a16="http://schemas.microsoft.com/office/drawing/2014/main" id="{00000000-0008-0000-0000-000013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323850</xdr:colOff>
          <xdr:row>154</xdr:row>
          <xdr:rowOff>9525</xdr:rowOff>
        </xdr:from>
        <xdr:to>
          <xdr:col>13</xdr:col>
          <xdr:colOff>323850</xdr:colOff>
          <xdr:row>154</xdr:row>
          <xdr:rowOff>238125</xdr:rowOff>
        </xdr:to>
        <xdr:sp macro="" textlink="">
          <xdr:nvSpPr>
            <xdr:cNvPr id="32020" name="Drop Down 276" hidden="1">
              <a:extLst>
                <a:ext uri="{63B3BB69-23CF-44E3-9099-C40C66FF867C}">
                  <a14:compatExt spid="_x0000_s32020"/>
                </a:ext>
                <a:ext uri="{FF2B5EF4-FFF2-40B4-BE49-F238E27FC236}">
                  <a16:creationId xmlns:a16="http://schemas.microsoft.com/office/drawing/2014/main" id="{00000000-0008-0000-0000-000014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155</xdr:row>
          <xdr:rowOff>19050</xdr:rowOff>
        </xdr:from>
        <xdr:to>
          <xdr:col>13</xdr:col>
          <xdr:colOff>323850</xdr:colOff>
          <xdr:row>155</xdr:row>
          <xdr:rowOff>238125</xdr:rowOff>
        </xdr:to>
        <xdr:sp macro="" textlink="">
          <xdr:nvSpPr>
            <xdr:cNvPr id="32021" name="Check Box 277" hidden="1">
              <a:extLst>
                <a:ext uri="{63B3BB69-23CF-44E3-9099-C40C66FF867C}">
                  <a14:compatExt spid="_x0000_s32021"/>
                </a:ext>
                <a:ext uri="{FF2B5EF4-FFF2-40B4-BE49-F238E27FC236}">
                  <a16:creationId xmlns:a16="http://schemas.microsoft.com/office/drawing/2014/main" id="{00000000-0008-0000-0000-000015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155</xdr:row>
          <xdr:rowOff>19050</xdr:rowOff>
        </xdr:from>
        <xdr:to>
          <xdr:col>27</xdr:col>
          <xdr:colOff>323850</xdr:colOff>
          <xdr:row>155</xdr:row>
          <xdr:rowOff>238125</xdr:rowOff>
        </xdr:to>
        <xdr:sp macro="" textlink="">
          <xdr:nvSpPr>
            <xdr:cNvPr id="32022" name="Check Box 278" hidden="1">
              <a:extLst>
                <a:ext uri="{63B3BB69-23CF-44E3-9099-C40C66FF867C}">
                  <a14:compatExt spid="_x0000_s32022"/>
                </a:ext>
                <a:ext uri="{FF2B5EF4-FFF2-40B4-BE49-F238E27FC236}">
                  <a16:creationId xmlns:a16="http://schemas.microsoft.com/office/drawing/2014/main" id="{00000000-0008-0000-0000-000016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155</xdr:row>
          <xdr:rowOff>19050</xdr:rowOff>
        </xdr:from>
        <xdr:to>
          <xdr:col>25</xdr:col>
          <xdr:colOff>323850</xdr:colOff>
          <xdr:row>155</xdr:row>
          <xdr:rowOff>238125</xdr:rowOff>
        </xdr:to>
        <xdr:sp macro="" textlink="">
          <xdr:nvSpPr>
            <xdr:cNvPr id="32023" name="Check Box 279" hidden="1">
              <a:extLst>
                <a:ext uri="{63B3BB69-23CF-44E3-9099-C40C66FF867C}">
                  <a14:compatExt spid="_x0000_s32023"/>
                </a:ext>
                <a:ext uri="{FF2B5EF4-FFF2-40B4-BE49-F238E27FC236}">
                  <a16:creationId xmlns:a16="http://schemas.microsoft.com/office/drawing/2014/main" id="{00000000-0008-0000-0000-000017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154</xdr:row>
          <xdr:rowOff>19050</xdr:rowOff>
        </xdr:from>
        <xdr:to>
          <xdr:col>27</xdr:col>
          <xdr:colOff>323850</xdr:colOff>
          <xdr:row>154</xdr:row>
          <xdr:rowOff>238125</xdr:rowOff>
        </xdr:to>
        <xdr:sp macro="" textlink="">
          <xdr:nvSpPr>
            <xdr:cNvPr id="32024" name="Check Box 280" hidden="1">
              <a:extLst>
                <a:ext uri="{63B3BB69-23CF-44E3-9099-C40C66FF867C}">
                  <a14:compatExt spid="_x0000_s32024"/>
                </a:ext>
                <a:ext uri="{FF2B5EF4-FFF2-40B4-BE49-F238E27FC236}">
                  <a16:creationId xmlns:a16="http://schemas.microsoft.com/office/drawing/2014/main" id="{00000000-0008-0000-0000-000018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154</xdr:row>
          <xdr:rowOff>19050</xdr:rowOff>
        </xdr:from>
        <xdr:to>
          <xdr:col>25</xdr:col>
          <xdr:colOff>323850</xdr:colOff>
          <xdr:row>154</xdr:row>
          <xdr:rowOff>238125</xdr:rowOff>
        </xdr:to>
        <xdr:sp macro="" textlink="">
          <xdr:nvSpPr>
            <xdr:cNvPr id="32025" name="Check Box 281" hidden="1">
              <a:extLst>
                <a:ext uri="{63B3BB69-23CF-44E3-9099-C40C66FF867C}">
                  <a14:compatExt spid="_x0000_s32025"/>
                </a:ext>
                <a:ext uri="{FF2B5EF4-FFF2-40B4-BE49-F238E27FC236}">
                  <a16:creationId xmlns:a16="http://schemas.microsoft.com/office/drawing/2014/main" id="{00000000-0008-0000-0000-000019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48</xdr:row>
          <xdr:rowOff>19050</xdr:rowOff>
        </xdr:from>
        <xdr:to>
          <xdr:col>14</xdr:col>
          <xdr:colOff>323850</xdr:colOff>
          <xdr:row>48</xdr:row>
          <xdr:rowOff>247650</xdr:rowOff>
        </xdr:to>
        <xdr:sp macro="" textlink="">
          <xdr:nvSpPr>
            <xdr:cNvPr id="32027" name="Check Box 283" hidden="1">
              <a:extLst>
                <a:ext uri="{63B3BB69-23CF-44E3-9099-C40C66FF867C}">
                  <a14:compatExt spid="_x0000_s32027"/>
                </a:ext>
                <a:ext uri="{FF2B5EF4-FFF2-40B4-BE49-F238E27FC236}">
                  <a16:creationId xmlns:a16="http://schemas.microsoft.com/office/drawing/2014/main" id="{00000000-0008-0000-0000-00001B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48</xdr:row>
          <xdr:rowOff>19050</xdr:rowOff>
        </xdr:from>
        <xdr:to>
          <xdr:col>12</xdr:col>
          <xdr:colOff>323850</xdr:colOff>
          <xdr:row>48</xdr:row>
          <xdr:rowOff>247650</xdr:rowOff>
        </xdr:to>
        <xdr:sp macro="" textlink="">
          <xdr:nvSpPr>
            <xdr:cNvPr id="32028" name="Check Box 284" hidden="1">
              <a:extLst>
                <a:ext uri="{63B3BB69-23CF-44E3-9099-C40C66FF867C}">
                  <a14:compatExt spid="_x0000_s32028"/>
                </a:ext>
                <a:ext uri="{FF2B5EF4-FFF2-40B4-BE49-F238E27FC236}">
                  <a16:creationId xmlns:a16="http://schemas.microsoft.com/office/drawing/2014/main" id="{00000000-0008-0000-0000-00001C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48</xdr:row>
          <xdr:rowOff>19050</xdr:rowOff>
        </xdr:from>
        <xdr:to>
          <xdr:col>20</xdr:col>
          <xdr:colOff>323850</xdr:colOff>
          <xdr:row>48</xdr:row>
          <xdr:rowOff>247650</xdr:rowOff>
        </xdr:to>
        <xdr:sp macro="" textlink="">
          <xdr:nvSpPr>
            <xdr:cNvPr id="32029" name="Check Box 285" hidden="1">
              <a:extLst>
                <a:ext uri="{63B3BB69-23CF-44E3-9099-C40C66FF867C}">
                  <a14:compatExt spid="_x0000_s32029"/>
                </a:ext>
                <a:ext uri="{FF2B5EF4-FFF2-40B4-BE49-F238E27FC236}">
                  <a16:creationId xmlns:a16="http://schemas.microsoft.com/office/drawing/2014/main" id="{00000000-0008-0000-0000-00001D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48</xdr:row>
          <xdr:rowOff>19050</xdr:rowOff>
        </xdr:from>
        <xdr:to>
          <xdr:col>18</xdr:col>
          <xdr:colOff>323850</xdr:colOff>
          <xdr:row>48</xdr:row>
          <xdr:rowOff>247650</xdr:rowOff>
        </xdr:to>
        <xdr:sp macro="" textlink="">
          <xdr:nvSpPr>
            <xdr:cNvPr id="32030" name="Check Box 286" hidden="1">
              <a:extLst>
                <a:ext uri="{63B3BB69-23CF-44E3-9099-C40C66FF867C}">
                  <a14:compatExt spid="_x0000_s32030"/>
                </a:ext>
                <a:ext uri="{FF2B5EF4-FFF2-40B4-BE49-F238E27FC236}">
                  <a16:creationId xmlns:a16="http://schemas.microsoft.com/office/drawing/2014/main" id="{00000000-0008-0000-0000-00001E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48</xdr:row>
          <xdr:rowOff>19050</xdr:rowOff>
        </xdr:from>
        <xdr:to>
          <xdr:col>26</xdr:col>
          <xdr:colOff>323850</xdr:colOff>
          <xdr:row>48</xdr:row>
          <xdr:rowOff>247650</xdr:rowOff>
        </xdr:to>
        <xdr:sp macro="" textlink="">
          <xdr:nvSpPr>
            <xdr:cNvPr id="32031" name="Check Box 287" hidden="1">
              <a:extLst>
                <a:ext uri="{63B3BB69-23CF-44E3-9099-C40C66FF867C}">
                  <a14:compatExt spid="_x0000_s32031"/>
                </a:ext>
                <a:ext uri="{FF2B5EF4-FFF2-40B4-BE49-F238E27FC236}">
                  <a16:creationId xmlns:a16="http://schemas.microsoft.com/office/drawing/2014/main" id="{00000000-0008-0000-0000-00001F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48</xdr:row>
          <xdr:rowOff>19050</xdr:rowOff>
        </xdr:from>
        <xdr:to>
          <xdr:col>24</xdr:col>
          <xdr:colOff>323850</xdr:colOff>
          <xdr:row>48</xdr:row>
          <xdr:rowOff>247650</xdr:rowOff>
        </xdr:to>
        <xdr:sp macro="" textlink="">
          <xdr:nvSpPr>
            <xdr:cNvPr id="32032" name="Check Box 288" hidden="1">
              <a:extLst>
                <a:ext uri="{63B3BB69-23CF-44E3-9099-C40C66FF867C}">
                  <a14:compatExt spid="_x0000_s32032"/>
                </a:ext>
                <a:ext uri="{FF2B5EF4-FFF2-40B4-BE49-F238E27FC236}">
                  <a16:creationId xmlns:a16="http://schemas.microsoft.com/office/drawing/2014/main" id="{00000000-0008-0000-0000-000020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49</xdr:row>
          <xdr:rowOff>19050</xdr:rowOff>
        </xdr:from>
        <xdr:to>
          <xdr:col>14</xdr:col>
          <xdr:colOff>323850</xdr:colOff>
          <xdr:row>49</xdr:row>
          <xdr:rowOff>247650</xdr:rowOff>
        </xdr:to>
        <xdr:sp macro="" textlink="">
          <xdr:nvSpPr>
            <xdr:cNvPr id="32033" name="Check Box 289" hidden="1">
              <a:extLst>
                <a:ext uri="{63B3BB69-23CF-44E3-9099-C40C66FF867C}">
                  <a14:compatExt spid="_x0000_s32033"/>
                </a:ext>
                <a:ext uri="{FF2B5EF4-FFF2-40B4-BE49-F238E27FC236}">
                  <a16:creationId xmlns:a16="http://schemas.microsoft.com/office/drawing/2014/main" id="{00000000-0008-0000-0000-000021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49</xdr:row>
          <xdr:rowOff>19050</xdr:rowOff>
        </xdr:from>
        <xdr:to>
          <xdr:col>12</xdr:col>
          <xdr:colOff>323850</xdr:colOff>
          <xdr:row>49</xdr:row>
          <xdr:rowOff>247650</xdr:rowOff>
        </xdr:to>
        <xdr:sp macro="" textlink="">
          <xdr:nvSpPr>
            <xdr:cNvPr id="32034" name="Check Box 290" hidden="1">
              <a:extLst>
                <a:ext uri="{63B3BB69-23CF-44E3-9099-C40C66FF867C}">
                  <a14:compatExt spid="_x0000_s32034"/>
                </a:ext>
                <a:ext uri="{FF2B5EF4-FFF2-40B4-BE49-F238E27FC236}">
                  <a16:creationId xmlns:a16="http://schemas.microsoft.com/office/drawing/2014/main" id="{00000000-0008-0000-0000-000022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49</xdr:row>
          <xdr:rowOff>19050</xdr:rowOff>
        </xdr:from>
        <xdr:to>
          <xdr:col>20</xdr:col>
          <xdr:colOff>323850</xdr:colOff>
          <xdr:row>49</xdr:row>
          <xdr:rowOff>247650</xdr:rowOff>
        </xdr:to>
        <xdr:sp macro="" textlink="">
          <xdr:nvSpPr>
            <xdr:cNvPr id="32035" name="Check Box 291" hidden="1">
              <a:extLst>
                <a:ext uri="{63B3BB69-23CF-44E3-9099-C40C66FF867C}">
                  <a14:compatExt spid="_x0000_s32035"/>
                </a:ext>
                <a:ext uri="{FF2B5EF4-FFF2-40B4-BE49-F238E27FC236}">
                  <a16:creationId xmlns:a16="http://schemas.microsoft.com/office/drawing/2014/main" id="{00000000-0008-0000-0000-000023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49</xdr:row>
          <xdr:rowOff>19050</xdr:rowOff>
        </xdr:from>
        <xdr:to>
          <xdr:col>18</xdr:col>
          <xdr:colOff>323850</xdr:colOff>
          <xdr:row>49</xdr:row>
          <xdr:rowOff>247650</xdr:rowOff>
        </xdr:to>
        <xdr:sp macro="" textlink="">
          <xdr:nvSpPr>
            <xdr:cNvPr id="32036" name="Check Box 292" hidden="1">
              <a:extLst>
                <a:ext uri="{63B3BB69-23CF-44E3-9099-C40C66FF867C}">
                  <a14:compatExt spid="_x0000_s32036"/>
                </a:ext>
                <a:ext uri="{FF2B5EF4-FFF2-40B4-BE49-F238E27FC236}">
                  <a16:creationId xmlns:a16="http://schemas.microsoft.com/office/drawing/2014/main" id="{00000000-0008-0000-0000-000024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49</xdr:row>
          <xdr:rowOff>19050</xdr:rowOff>
        </xdr:from>
        <xdr:to>
          <xdr:col>26</xdr:col>
          <xdr:colOff>323850</xdr:colOff>
          <xdr:row>49</xdr:row>
          <xdr:rowOff>247650</xdr:rowOff>
        </xdr:to>
        <xdr:sp macro="" textlink="">
          <xdr:nvSpPr>
            <xdr:cNvPr id="32037" name="Check Box 293" hidden="1">
              <a:extLst>
                <a:ext uri="{63B3BB69-23CF-44E3-9099-C40C66FF867C}">
                  <a14:compatExt spid="_x0000_s32037"/>
                </a:ext>
                <a:ext uri="{FF2B5EF4-FFF2-40B4-BE49-F238E27FC236}">
                  <a16:creationId xmlns:a16="http://schemas.microsoft.com/office/drawing/2014/main" id="{00000000-0008-0000-0000-000025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49</xdr:row>
          <xdr:rowOff>19050</xdr:rowOff>
        </xdr:from>
        <xdr:to>
          <xdr:col>24</xdr:col>
          <xdr:colOff>323850</xdr:colOff>
          <xdr:row>49</xdr:row>
          <xdr:rowOff>247650</xdr:rowOff>
        </xdr:to>
        <xdr:sp macro="" textlink="">
          <xdr:nvSpPr>
            <xdr:cNvPr id="32038" name="Check Box 294" hidden="1">
              <a:extLst>
                <a:ext uri="{63B3BB69-23CF-44E3-9099-C40C66FF867C}">
                  <a14:compatExt spid="_x0000_s32038"/>
                </a:ext>
                <a:ext uri="{FF2B5EF4-FFF2-40B4-BE49-F238E27FC236}">
                  <a16:creationId xmlns:a16="http://schemas.microsoft.com/office/drawing/2014/main" id="{00000000-0008-0000-0000-000026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50</xdr:row>
          <xdr:rowOff>19050</xdr:rowOff>
        </xdr:from>
        <xdr:to>
          <xdr:col>14</xdr:col>
          <xdr:colOff>323850</xdr:colOff>
          <xdr:row>50</xdr:row>
          <xdr:rowOff>247650</xdr:rowOff>
        </xdr:to>
        <xdr:sp macro="" textlink="">
          <xdr:nvSpPr>
            <xdr:cNvPr id="32039" name="Check Box 295" hidden="1">
              <a:extLst>
                <a:ext uri="{63B3BB69-23CF-44E3-9099-C40C66FF867C}">
                  <a14:compatExt spid="_x0000_s32039"/>
                </a:ext>
                <a:ext uri="{FF2B5EF4-FFF2-40B4-BE49-F238E27FC236}">
                  <a16:creationId xmlns:a16="http://schemas.microsoft.com/office/drawing/2014/main" id="{00000000-0008-0000-0000-000027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19050</xdr:rowOff>
        </xdr:from>
        <xdr:to>
          <xdr:col>12</xdr:col>
          <xdr:colOff>323850</xdr:colOff>
          <xdr:row>50</xdr:row>
          <xdr:rowOff>247650</xdr:rowOff>
        </xdr:to>
        <xdr:sp macro="" textlink="">
          <xdr:nvSpPr>
            <xdr:cNvPr id="32040" name="Check Box 296" hidden="1">
              <a:extLst>
                <a:ext uri="{63B3BB69-23CF-44E3-9099-C40C66FF867C}">
                  <a14:compatExt spid="_x0000_s32040"/>
                </a:ext>
                <a:ext uri="{FF2B5EF4-FFF2-40B4-BE49-F238E27FC236}">
                  <a16:creationId xmlns:a16="http://schemas.microsoft.com/office/drawing/2014/main" id="{00000000-0008-0000-0000-000028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50</xdr:row>
          <xdr:rowOff>19050</xdr:rowOff>
        </xdr:from>
        <xdr:to>
          <xdr:col>20</xdr:col>
          <xdr:colOff>323850</xdr:colOff>
          <xdr:row>50</xdr:row>
          <xdr:rowOff>247650</xdr:rowOff>
        </xdr:to>
        <xdr:sp macro="" textlink="">
          <xdr:nvSpPr>
            <xdr:cNvPr id="32041" name="Check Box 297" hidden="1">
              <a:extLst>
                <a:ext uri="{63B3BB69-23CF-44E3-9099-C40C66FF867C}">
                  <a14:compatExt spid="_x0000_s32041"/>
                </a:ext>
                <a:ext uri="{FF2B5EF4-FFF2-40B4-BE49-F238E27FC236}">
                  <a16:creationId xmlns:a16="http://schemas.microsoft.com/office/drawing/2014/main" id="{00000000-0008-0000-0000-000029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50</xdr:row>
          <xdr:rowOff>19050</xdr:rowOff>
        </xdr:from>
        <xdr:to>
          <xdr:col>18</xdr:col>
          <xdr:colOff>323850</xdr:colOff>
          <xdr:row>50</xdr:row>
          <xdr:rowOff>247650</xdr:rowOff>
        </xdr:to>
        <xdr:sp macro="" textlink="">
          <xdr:nvSpPr>
            <xdr:cNvPr id="32042" name="Check Box 298" hidden="1">
              <a:extLst>
                <a:ext uri="{63B3BB69-23CF-44E3-9099-C40C66FF867C}">
                  <a14:compatExt spid="_x0000_s32042"/>
                </a:ext>
                <a:ext uri="{FF2B5EF4-FFF2-40B4-BE49-F238E27FC236}">
                  <a16:creationId xmlns:a16="http://schemas.microsoft.com/office/drawing/2014/main" id="{00000000-0008-0000-0000-00002A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50</xdr:row>
          <xdr:rowOff>19050</xdr:rowOff>
        </xdr:from>
        <xdr:to>
          <xdr:col>26</xdr:col>
          <xdr:colOff>323850</xdr:colOff>
          <xdr:row>50</xdr:row>
          <xdr:rowOff>247650</xdr:rowOff>
        </xdr:to>
        <xdr:sp macro="" textlink="">
          <xdr:nvSpPr>
            <xdr:cNvPr id="32043" name="Check Box 299" hidden="1">
              <a:extLst>
                <a:ext uri="{63B3BB69-23CF-44E3-9099-C40C66FF867C}">
                  <a14:compatExt spid="_x0000_s32043"/>
                </a:ext>
                <a:ext uri="{FF2B5EF4-FFF2-40B4-BE49-F238E27FC236}">
                  <a16:creationId xmlns:a16="http://schemas.microsoft.com/office/drawing/2014/main" id="{00000000-0008-0000-0000-00002B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50</xdr:row>
          <xdr:rowOff>19050</xdr:rowOff>
        </xdr:from>
        <xdr:to>
          <xdr:col>24</xdr:col>
          <xdr:colOff>323850</xdr:colOff>
          <xdr:row>50</xdr:row>
          <xdr:rowOff>247650</xdr:rowOff>
        </xdr:to>
        <xdr:sp macro="" textlink="">
          <xdr:nvSpPr>
            <xdr:cNvPr id="32044" name="Check Box 300" hidden="1">
              <a:extLst>
                <a:ext uri="{63B3BB69-23CF-44E3-9099-C40C66FF867C}">
                  <a14:compatExt spid="_x0000_s32044"/>
                </a:ext>
                <a:ext uri="{FF2B5EF4-FFF2-40B4-BE49-F238E27FC236}">
                  <a16:creationId xmlns:a16="http://schemas.microsoft.com/office/drawing/2014/main" id="{00000000-0008-0000-0000-00002C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40</xdr:row>
          <xdr:rowOff>19050</xdr:rowOff>
        </xdr:from>
        <xdr:to>
          <xdr:col>14</xdr:col>
          <xdr:colOff>323850</xdr:colOff>
          <xdr:row>40</xdr:row>
          <xdr:rowOff>247650</xdr:rowOff>
        </xdr:to>
        <xdr:sp macro="" textlink="">
          <xdr:nvSpPr>
            <xdr:cNvPr id="32045" name="Check Box 301" hidden="1">
              <a:extLst>
                <a:ext uri="{63B3BB69-23CF-44E3-9099-C40C66FF867C}">
                  <a14:compatExt spid="_x0000_s32045"/>
                </a:ext>
                <a:ext uri="{FF2B5EF4-FFF2-40B4-BE49-F238E27FC236}">
                  <a16:creationId xmlns:a16="http://schemas.microsoft.com/office/drawing/2014/main" id="{00000000-0008-0000-0000-00002D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40</xdr:row>
          <xdr:rowOff>19050</xdr:rowOff>
        </xdr:from>
        <xdr:to>
          <xdr:col>12</xdr:col>
          <xdr:colOff>323850</xdr:colOff>
          <xdr:row>40</xdr:row>
          <xdr:rowOff>247650</xdr:rowOff>
        </xdr:to>
        <xdr:sp macro="" textlink="">
          <xdr:nvSpPr>
            <xdr:cNvPr id="32046" name="Check Box 302" hidden="1">
              <a:extLst>
                <a:ext uri="{63B3BB69-23CF-44E3-9099-C40C66FF867C}">
                  <a14:compatExt spid="_x0000_s32046"/>
                </a:ext>
                <a:ext uri="{FF2B5EF4-FFF2-40B4-BE49-F238E27FC236}">
                  <a16:creationId xmlns:a16="http://schemas.microsoft.com/office/drawing/2014/main" id="{00000000-0008-0000-0000-00002E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40</xdr:row>
          <xdr:rowOff>19050</xdr:rowOff>
        </xdr:from>
        <xdr:to>
          <xdr:col>20</xdr:col>
          <xdr:colOff>323850</xdr:colOff>
          <xdr:row>40</xdr:row>
          <xdr:rowOff>247650</xdr:rowOff>
        </xdr:to>
        <xdr:sp macro="" textlink="">
          <xdr:nvSpPr>
            <xdr:cNvPr id="32047" name="Check Box 303" hidden="1">
              <a:extLst>
                <a:ext uri="{63B3BB69-23CF-44E3-9099-C40C66FF867C}">
                  <a14:compatExt spid="_x0000_s32047"/>
                </a:ext>
                <a:ext uri="{FF2B5EF4-FFF2-40B4-BE49-F238E27FC236}">
                  <a16:creationId xmlns:a16="http://schemas.microsoft.com/office/drawing/2014/main" id="{00000000-0008-0000-0000-00002F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40</xdr:row>
          <xdr:rowOff>19050</xdr:rowOff>
        </xdr:from>
        <xdr:to>
          <xdr:col>18</xdr:col>
          <xdr:colOff>323850</xdr:colOff>
          <xdr:row>40</xdr:row>
          <xdr:rowOff>247650</xdr:rowOff>
        </xdr:to>
        <xdr:sp macro="" textlink="">
          <xdr:nvSpPr>
            <xdr:cNvPr id="32048" name="Check Box 304" hidden="1">
              <a:extLst>
                <a:ext uri="{63B3BB69-23CF-44E3-9099-C40C66FF867C}">
                  <a14:compatExt spid="_x0000_s32048"/>
                </a:ext>
                <a:ext uri="{FF2B5EF4-FFF2-40B4-BE49-F238E27FC236}">
                  <a16:creationId xmlns:a16="http://schemas.microsoft.com/office/drawing/2014/main" id="{00000000-0008-0000-0000-000030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40</xdr:row>
          <xdr:rowOff>19050</xdr:rowOff>
        </xdr:from>
        <xdr:to>
          <xdr:col>26</xdr:col>
          <xdr:colOff>323850</xdr:colOff>
          <xdr:row>40</xdr:row>
          <xdr:rowOff>247650</xdr:rowOff>
        </xdr:to>
        <xdr:sp macro="" textlink="">
          <xdr:nvSpPr>
            <xdr:cNvPr id="32049" name="Check Box 305" hidden="1">
              <a:extLst>
                <a:ext uri="{63B3BB69-23CF-44E3-9099-C40C66FF867C}">
                  <a14:compatExt spid="_x0000_s32049"/>
                </a:ext>
                <a:ext uri="{FF2B5EF4-FFF2-40B4-BE49-F238E27FC236}">
                  <a16:creationId xmlns:a16="http://schemas.microsoft.com/office/drawing/2014/main" id="{00000000-0008-0000-0000-000031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40</xdr:row>
          <xdr:rowOff>19050</xdr:rowOff>
        </xdr:from>
        <xdr:to>
          <xdr:col>24</xdr:col>
          <xdr:colOff>323850</xdr:colOff>
          <xdr:row>40</xdr:row>
          <xdr:rowOff>247650</xdr:rowOff>
        </xdr:to>
        <xdr:sp macro="" textlink="">
          <xdr:nvSpPr>
            <xdr:cNvPr id="32050" name="Check Box 306" hidden="1">
              <a:extLst>
                <a:ext uri="{63B3BB69-23CF-44E3-9099-C40C66FF867C}">
                  <a14:compatExt spid="_x0000_s32050"/>
                </a:ext>
                <a:ext uri="{FF2B5EF4-FFF2-40B4-BE49-F238E27FC236}">
                  <a16:creationId xmlns:a16="http://schemas.microsoft.com/office/drawing/2014/main" id="{00000000-0008-0000-0000-000032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66675</xdr:colOff>
      <xdr:row>0</xdr:row>
      <xdr:rowOff>114300</xdr:rowOff>
    </xdr:from>
    <xdr:to>
      <xdr:col>2</xdr:col>
      <xdr:colOff>201300</xdr:colOff>
      <xdr:row>0</xdr:row>
      <xdr:rowOff>390525</xdr:rowOff>
    </xdr:to>
    <xdr:sp macro="" textlink="">
      <xdr:nvSpPr>
        <xdr:cNvPr id="156" name="AutoShape 288">
          <a:extLst>
            <a:ext uri="{FF2B5EF4-FFF2-40B4-BE49-F238E27FC236}">
              <a16:creationId xmlns:a16="http://schemas.microsoft.com/office/drawing/2014/main" id="{00000000-0008-0000-0000-00009C000000}"/>
            </a:ext>
          </a:extLst>
        </xdr:cNvPr>
        <xdr:cNvSpPr>
          <a:spLocks noChangeArrowheads="1"/>
        </xdr:cNvSpPr>
      </xdr:nvSpPr>
      <xdr:spPr bwMode="auto">
        <a:xfrm>
          <a:off x="180975" y="114300"/>
          <a:ext cx="468000" cy="276225"/>
        </a:xfrm>
        <a:prstGeom prst="rightArrow">
          <a:avLst>
            <a:gd name="adj1" fmla="val 50000"/>
            <a:gd name="adj2" fmla="val 71667"/>
          </a:avLst>
        </a:prstGeom>
        <a:solidFill>
          <a:schemeClr val="bg1">
            <a:lumMod val="75000"/>
          </a:schemeClr>
        </a:solidFill>
        <a:ln w="6350">
          <a:solidFill>
            <a:schemeClr val="bg1">
              <a:lumMod val="95000"/>
            </a:schemeClr>
          </a:solidFill>
          <a:miter lim="800000"/>
          <a:headEnd/>
          <a:tailEnd/>
        </a:ln>
      </xdr:spPr>
    </xdr:sp>
    <xdr:clientData/>
  </xdr:twoCellAnchor>
  <xdr:twoCellAnchor>
    <xdr:from>
      <xdr:col>15</xdr:col>
      <xdr:colOff>47625</xdr:colOff>
      <xdr:row>0</xdr:row>
      <xdr:rowOff>123825</xdr:rowOff>
    </xdr:from>
    <xdr:to>
      <xdr:col>16</xdr:col>
      <xdr:colOff>182250</xdr:colOff>
      <xdr:row>0</xdr:row>
      <xdr:rowOff>400050</xdr:rowOff>
    </xdr:to>
    <xdr:sp macro="" textlink="">
      <xdr:nvSpPr>
        <xdr:cNvPr id="157" name="AutoShape 288">
          <a:extLst>
            <a:ext uri="{FF2B5EF4-FFF2-40B4-BE49-F238E27FC236}">
              <a16:creationId xmlns:a16="http://schemas.microsoft.com/office/drawing/2014/main" id="{00000000-0008-0000-0000-00009D000000}"/>
            </a:ext>
          </a:extLst>
        </xdr:cNvPr>
        <xdr:cNvSpPr>
          <a:spLocks noChangeArrowheads="1"/>
        </xdr:cNvSpPr>
      </xdr:nvSpPr>
      <xdr:spPr bwMode="auto">
        <a:xfrm>
          <a:off x="4829175" y="123825"/>
          <a:ext cx="468000" cy="276225"/>
        </a:xfrm>
        <a:prstGeom prst="rightArrow">
          <a:avLst>
            <a:gd name="adj1" fmla="val 50000"/>
            <a:gd name="adj2" fmla="val 71667"/>
          </a:avLst>
        </a:prstGeom>
        <a:solidFill>
          <a:schemeClr val="bg1">
            <a:lumMod val="75000"/>
          </a:schemeClr>
        </a:solidFill>
        <a:ln w="6350">
          <a:solidFill>
            <a:schemeClr val="bg1">
              <a:lumMod val="95000"/>
            </a:schemeClr>
          </a:solid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257175</xdr:colOff>
          <xdr:row>99</xdr:row>
          <xdr:rowOff>9525</xdr:rowOff>
        </xdr:from>
        <xdr:to>
          <xdr:col>15</xdr:col>
          <xdr:colOff>314325</xdr:colOff>
          <xdr:row>99</xdr:row>
          <xdr:rowOff>247650</xdr:rowOff>
        </xdr:to>
        <xdr:sp macro="" textlink="">
          <xdr:nvSpPr>
            <xdr:cNvPr id="32051" name="Drop Down 307" hidden="1">
              <a:extLst>
                <a:ext uri="{63B3BB69-23CF-44E3-9099-C40C66FF867C}">
                  <a14:compatExt spid="_x0000_s32051"/>
                </a:ext>
                <a:ext uri="{FF2B5EF4-FFF2-40B4-BE49-F238E27FC236}">
                  <a16:creationId xmlns:a16="http://schemas.microsoft.com/office/drawing/2014/main" id="{00000000-0008-0000-0000-000033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276225</xdr:colOff>
          <xdr:row>99</xdr:row>
          <xdr:rowOff>19050</xdr:rowOff>
        </xdr:from>
        <xdr:to>
          <xdr:col>22</xdr:col>
          <xdr:colOff>0</xdr:colOff>
          <xdr:row>99</xdr:row>
          <xdr:rowOff>247650</xdr:rowOff>
        </xdr:to>
        <xdr:sp macro="" textlink="">
          <xdr:nvSpPr>
            <xdr:cNvPr id="32052" name="Drop Down 308" hidden="1">
              <a:extLst>
                <a:ext uri="{63B3BB69-23CF-44E3-9099-C40C66FF867C}">
                  <a14:compatExt spid="_x0000_s32052"/>
                </a:ext>
                <a:ext uri="{FF2B5EF4-FFF2-40B4-BE49-F238E27FC236}">
                  <a16:creationId xmlns:a16="http://schemas.microsoft.com/office/drawing/2014/main" id="{00000000-0008-0000-0000-000034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266700</xdr:colOff>
          <xdr:row>99</xdr:row>
          <xdr:rowOff>9525</xdr:rowOff>
        </xdr:from>
        <xdr:to>
          <xdr:col>27</xdr:col>
          <xdr:colOff>323850</xdr:colOff>
          <xdr:row>99</xdr:row>
          <xdr:rowOff>238125</xdr:rowOff>
        </xdr:to>
        <xdr:sp macro="" textlink="">
          <xdr:nvSpPr>
            <xdr:cNvPr id="32053" name="Drop Down 309" hidden="1">
              <a:extLst>
                <a:ext uri="{63B3BB69-23CF-44E3-9099-C40C66FF867C}">
                  <a14:compatExt spid="_x0000_s32053"/>
                </a:ext>
                <a:ext uri="{FF2B5EF4-FFF2-40B4-BE49-F238E27FC236}">
                  <a16:creationId xmlns:a16="http://schemas.microsoft.com/office/drawing/2014/main" id="{00000000-0008-0000-0000-000035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108</xdr:row>
          <xdr:rowOff>9525</xdr:rowOff>
        </xdr:from>
        <xdr:to>
          <xdr:col>8</xdr:col>
          <xdr:colOff>209550</xdr:colOff>
          <xdr:row>108</xdr:row>
          <xdr:rowOff>247650</xdr:rowOff>
        </xdr:to>
        <xdr:sp macro="" textlink="">
          <xdr:nvSpPr>
            <xdr:cNvPr id="32061" name="Drop Down 317" hidden="1">
              <a:extLst>
                <a:ext uri="{63B3BB69-23CF-44E3-9099-C40C66FF867C}">
                  <a14:compatExt spid="_x0000_s32061"/>
                </a:ext>
                <a:ext uri="{FF2B5EF4-FFF2-40B4-BE49-F238E27FC236}">
                  <a16:creationId xmlns:a16="http://schemas.microsoft.com/office/drawing/2014/main" id="{00000000-0008-0000-0000-00003D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109</xdr:row>
          <xdr:rowOff>19050</xdr:rowOff>
        </xdr:from>
        <xdr:to>
          <xdr:col>8</xdr:col>
          <xdr:colOff>209550</xdr:colOff>
          <xdr:row>110</xdr:row>
          <xdr:rowOff>0</xdr:rowOff>
        </xdr:to>
        <xdr:sp macro="" textlink="">
          <xdr:nvSpPr>
            <xdr:cNvPr id="32063" name="Drop Down 319" hidden="1">
              <a:extLst>
                <a:ext uri="{63B3BB69-23CF-44E3-9099-C40C66FF867C}">
                  <a14:compatExt spid="_x0000_s32063"/>
                </a:ext>
                <a:ext uri="{FF2B5EF4-FFF2-40B4-BE49-F238E27FC236}">
                  <a16:creationId xmlns:a16="http://schemas.microsoft.com/office/drawing/2014/main" id="{00000000-0008-0000-0000-00003F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110</xdr:row>
          <xdr:rowOff>19050</xdr:rowOff>
        </xdr:from>
        <xdr:to>
          <xdr:col>8</xdr:col>
          <xdr:colOff>209550</xdr:colOff>
          <xdr:row>111</xdr:row>
          <xdr:rowOff>0</xdr:rowOff>
        </xdr:to>
        <xdr:sp macro="" textlink="">
          <xdr:nvSpPr>
            <xdr:cNvPr id="32064" name="Drop Down 320" hidden="1">
              <a:extLst>
                <a:ext uri="{63B3BB69-23CF-44E3-9099-C40C66FF867C}">
                  <a14:compatExt spid="_x0000_s32064"/>
                </a:ext>
                <a:ext uri="{FF2B5EF4-FFF2-40B4-BE49-F238E27FC236}">
                  <a16:creationId xmlns:a16="http://schemas.microsoft.com/office/drawing/2014/main" id="{00000000-0008-0000-0000-000040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10</xdr:row>
          <xdr:rowOff>19050</xdr:rowOff>
        </xdr:from>
        <xdr:to>
          <xdr:col>7</xdr:col>
          <xdr:colOff>19050</xdr:colOff>
          <xdr:row>10</xdr:row>
          <xdr:rowOff>238125</xdr:rowOff>
        </xdr:to>
        <xdr:sp macro="" textlink="">
          <xdr:nvSpPr>
            <xdr:cNvPr id="32067" name="Drop Down 323" hidden="1">
              <a:extLst>
                <a:ext uri="{63B3BB69-23CF-44E3-9099-C40C66FF867C}">
                  <a14:compatExt spid="_x0000_s32067"/>
                </a:ext>
                <a:ext uri="{FF2B5EF4-FFF2-40B4-BE49-F238E27FC236}">
                  <a16:creationId xmlns:a16="http://schemas.microsoft.com/office/drawing/2014/main" id="{00000000-0008-0000-0000-000043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77</xdr:row>
          <xdr:rowOff>9525</xdr:rowOff>
        </xdr:from>
        <xdr:to>
          <xdr:col>27</xdr:col>
          <xdr:colOff>323850</xdr:colOff>
          <xdr:row>77</xdr:row>
          <xdr:rowOff>238125</xdr:rowOff>
        </xdr:to>
        <xdr:sp macro="" textlink="">
          <xdr:nvSpPr>
            <xdr:cNvPr id="32068" name="Drop Down 324" hidden="1">
              <a:extLst>
                <a:ext uri="{63B3BB69-23CF-44E3-9099-C40C66FF867C}">
                  <a14:compatExt spid="_x0000_s32068"/>
                </a:ext>
                <a:ext uri="{FF2B5EF4-FFF2-40B4-BE49-F238E27FC236}">
                  <a16:creationId xmlns:a16="http://schemas.microsoft.com/office/drawing/2014/main" id="{00000000-0008-0000-0000-000044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77</xdr:row>
          <xdr:rowOff>9525</xdr:rowOff>
        </xdr:from>
        <xdr:to>
          <xdr:col>15</xdr:col>
          <xdr:colOff>9525</xdr:colOff>
          <xdr:row>77</xdr:row>
          <xdr:rowOff>238125</xdr:rowOff>
        </xdr:to>
        <xdr:sp macro="" textlink="">
          <xdr:nvSpPr>
            <xdr:cNvPr id="32070" name="Drop Down 326" hidden="1">
              <a:extLst>
                <a:ext uri="{63B3BB69-23CF-44E3-9099-C40C66FF867C}">
                  <a14:compatExt spid="_x0000_s32070"/>
                </a:ext>
                <a:ext uri="{FF2B5EF4-FFF2-40B4-BE49-F238E27FC236}">
                  <a16:creationId xmlns:a16="http://schemas.microsoft.com/office/drawing/2014/main" id="{00000000-0008-0000-0000-0000467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137</xdr:row>
          <xdr:rowOff>19050</xdr:rowOff>
        </xdr:from>
        <xdr:to>
          <xdr:col>13</xdr:col>
          <xdr:colOff>342900</xdr:colOff>
          <xdr:row>137</xdr:row>
          <xdr:rowOff>228600</xdr:rowOff>
        </xdr:to>
        <xdr:sp macro="" textlink="">
          <xdr:nvSpPr>
            <xdr:cNvPr id="32071" name="Check Box 327" hidden="1">
              <a:extLst>
                <a:ext uri="{63B3BB69-23CF-44E3-9099-C40C66FF867C}">
                  <a14:compatExt spid="_x0000_s32071"/>
                </a:ext>
                <a:ext uri="{FF2B5EF4-FFF2-40B4-BE49-F238E27FC236}">
                  <a16:creationId xmlns:a16="http://schemas.microsoft.com/office/drawing/2014/main" id="{00000000-0008-0000-0000-000047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137</xdr:row>
          <xdr:rowOff>19050</xdr:rowOff>
        </xdr:from>
        <xdr:to>
          <xdr:col>11</xdr:col>
          <xdr:colOff>342900</xdr:colOff>
          <xdr:row>137</xdr:row>
          <xdr:rowOff>228600</xdr:rowOff>
        </xdr:to>
        <xdr:sp macro="" textlink="">
          <xdr:nvSpPr>
            <xdr:cNvPr id="32072" name="Check Box 328" hidden="1">
              <a:extLst>
                <a:ext uri="{63B3BB69-23CF-44E3-9099-C40C66FF867C}">
                  <a14:compatExt spid="_x0000_s32072"/>
                </a:ext>
                <a:ext uri="{FF2B5EF4-FFF2-40B4-BE49-F238E27FC236}">
                  <a16:creationId xmlns:a16="http://schemas.microsoft.com/office/drawing/2014/main" id="{00000000-0008-0000-0000-000048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139</xdr:row>
          <xdr:rowOff>19050</xdr:rowOff>
        </xdr:from>
        <xdr:to>
          <xdr:col>13</xdr:col>
          <xdr:colOff>342900</xdr:colOff>
          <xdr:row>139</xdr:row>
          <xdr:rowOff>228600</xdr:rowOff>
        </xdr:to>
        <xdr:sp macro="" textlink="">
          <xdr:nvSpPr>
            <xdr:cNvPr id="32073" name="Check Box 329" hidden="1">
              <a:extLst>
                <a:ext uri="{63B3BB69-23CF-44E3-9099-C40C66FF867C}">
                  <a14:compatExt spid="_x0000_s32073"/>
                </a:ext>
                <a:ext uri="{FF2B5EF4-FFF2-40B4-BE49-F238E27FC236}">
                  <a16:creationId xmlns:a16="http://schemas.microsoft.com/office/drawing/2014/main" id="{00000000-0008-0000-0000-000049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139</xdr:row>
          <xdr:rowOff>19050</xdr:rowOff>
        </xdr:from>
        <xdr:to>
          <xdr:col>11</xdr:col>
          <xdr:colOff>342900</xdr:colOff>
          <xdr:row>139</xdr:row>
          <xdr:rowOff>228600</xdr:rowOff>
        </xdr:to>
        <xdr:sp macro="" textlink="">
          <xdr:nvSpPr>
            <xdr:cNvPr id="32074" name="Check Box 330" hidden="1">
              <a:extLst>
                <a:ext uri="{63B3BB69-23CF-44E3-9099-C40C66FF867C}">
                  <a14:compatExt spid="_x0000_s32074"/>
                </a:ext>
                <a:ext uri="{FF2B5EF4-FFF2-40B4-BE49-F238E27FC236}">
                  <a16:creationId xmlns:a16="http://schemas.microsoft.com/office/drawing/2014/main" id="{00000000-0008-0000-0000-00004A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145</xdr:row>
          <xdr:rowOff>19050</xdr:rowOff>
        </xdr:from>
        <xdr:to>
          <xdr:col>13</xdr:col>
          <xdr:colOff>342900</xdr:colOff>
          <xdr:row>145</xdr:row>
          <xdr:rowOff>228600</xdr:rowOff>
        </xdr:to>
        <xdr:sp macro="" textlink="">
          <xdr:nvSpPr>
            <xdr:cNvPr id="32077" name="Check Box 333" hidden="1">
              <a:extLst>
                <a:ext uri="{63B3BB69-23CF-44E3-9099-C40C66FF867C}">
                  <a14:compatExt spid="_x0000_s32077"/>
                </a:ext>
                <a:ext uri="{FF2B5EF4-FFF2-40B4-BE49-F238E27FC236}">
                  <a16:creationId xmlns:a16="http://schemas.microsoft.com/office/drawing/2014/main" id="{00000000-0008-0000-0000-00004D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145</xdr:row>
          <xdr:rowOff>19050</xdr:rowOff>
        </xdr:from>
        <xdr:to>
          <xdr:col>11</xdr:col>
          <xdr:colOff>342900</xdr:colOff>
          <xdr:row>145</xdr:row>
          <xdr:rowOff>228600</xdr:rowOff>
        </xdr:to>
        <xdr:sp macro="" textlink="">
          <xdr:nvSpPr>
            <xdr:cNvPr id="32078" name="Check Box 334" hidden="1">
              <a:extLst>
                <a:ext uri="{63B3BB69-23CF-44E3-9099-C40C66FF867C}">
                  <a14:compatExt spid="_x0000_s32078"/>
                </a:ext>
                <a:ext uri="{FF2B5EF4-FFF2-40B4-BE49-F238E27FC236}">
                  <a16:creationId xmlns:a16="http://schemas.microsoft.com/office/drawing/2014/main" id="{00000000-0008-0000-0000-00004E7D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66675</xdr:colOff>
          <xdr:row>0</xdr:row>
          <xdr:rowOff>114300</xdr:rowOff>
        </xdr:from>
        <xdr:to>
          <xdr:col>6</xdr:col>
          <xdr:colOff>200025</xdr:colOff>
          <xdr:row>0</xdr:row>
          <xdr:rowOff>371475</xdr:rowOff>
        </xdr:to>
        <xdr:sp macro="" textlink="">
          <xdr:nvSpPr>
            <xdr:cNvPr id="34817" name="Drop Down 1" hidden="1">
              <a:extLst>
                <a:ext uri="{63B3BB69-23CF-44E3-9099-C40C66FF867C}">
                  <a14:compatExt spid="_x0000_s34817"/>
                </a:ext>
                <a:ext uri="{FF2B5EF4-FFF2-40B4-BE49-F238E27FC236}">
                  <a16:creationId xmlns:a16="http://schemas.microsoft.com/office/drawing/2014/main" id="{00000000-0008-0000-0100-000001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66675</xdr:colOff>
          <xdr:row>0</xdr:row>
          <xdr:rowOff>114300</xdr:rowOff>
        </xdr:from>
        <xdr:to>
          <xdr:col>6</xdr:col>
          <xdr:colOff>200025</xdr:colOff>
          <xdr:row>0</xdr:row>
          <xdr:rowOff>371475</xdr:rowOff>
        </xdr:to>
        <xdr:sp macro="" textlink="">
          <xdr:nvSpPr>
            <xdr:cNvPr id="39937" name="Drop Down 1" hidden="1">
              <a:extLst>
                <a:ext uri="{63B3BB69-23CF-44E3-9099-C40C66FF867C}">
                  <a14:compatExt spid="_x0000_s39937"/>
                </a:ext>
                <a:ext uri="{FF2B5EF4-FFF2-40B4-BE49-F238E27FC236}">
                  <a16:creationId xmlns:a16="http://schemas.microsoft.com/office/drawing/2014/main" id="{00000000-0008-0000-0200-0000019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66675</xdr:colOff>
          <xdr:row>0</xdr:row>
          <xdr:rowOff>114300</xdr:rowOff>
        </xdr:from>
        <xdr:to>
          <xdr:col>6</xdr:col>
          <xdr:colOff>200025</xdr:colOff>
          <xdr:row>0</xdr:row>
          <xdr:rowOff>371475</xdr:rowOff>
        </xdr:to>
        <xdr:sp macro="" textlink="">
          <xdr:nvSpPr>
            <xdr:cNvPr id="40961" name="Drop Down 1" hidden="1">
              <a:extLst>
                <a:ext uri="{63B3BB69-23CF-44E3-9099-C40C66FF867C}">
                  <a14:compatExt spid="_x0000_s40961"/>
                </a:ext>
                <a:ext uri="{FF2B5EF4-FFF2-40B4-BE49-F238E27FC236}">
                  <a16:creationId xmlns:a16="http://schemas.microsoft.com/office/drawing/2014/main" id="{00000000-0008-0000-0300-000001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76200</xdr:colOff>
          <xdr:row>2</xdr:row>
          <xdr:rowOff>95250</xdr:rowOff>
        </xdr:from>
        <xdr:to>
          <xdr:col>1</xdr:col>
          <xdr:colOff>504825</xdr:colOff>
          <xdr:row>3</xdr:row>
          <xdr:rowOff>152400</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0400-000001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200" b="1" i="0" u="none" strike="noStrike" baseline="0">
                  <a:solidFill>
                    <a:srgbClr val="000000"/>
                  </a:solidFill>
                  <a:latin typeface="Arial"/>
                  <a:cs typeface="Arial"/>
                </a:rPr>
                <a:t>back</a:t>
              </a:r>
            </a:p>
          </xdr:txBody>
        </xdr:sp>
        <xdr:clientData fPrintsWithSheet="0"/>
      </xdr:twoCellAnchor>
    </mc:Choice>
    <mc:Fallback/>
  </mc:AlternateContent>
  <xdr:oneCellAnchor>
    <xdr:from>
      <xdr:col>0</xdr:col>
      <xdr:colOff>0</xdr:colOff>
      <xdr:row>279</xdr:row>
      <xdr:rowOff>152400</xdr:rowOff>
    </xdr:from>
    <xdr:ext cx="1411348" cy="436786"/>
    <xdr:sp macro="" textlink="">
      <xdr:nvSpPr>
        <xdr:cNvPr id="3" name="Textfeld 2">
          <a:extLst>
            <a:ext uri="{FF2B5EF4-FFF2-40B4-BE49-F238E27FC236}">
              <a16:creationId xmlns:a16="http://schemas.microsoft.com/office/drawing/2014/main" id="{00000000-0008-0000-0400-000003000000}"/>
            </a:ext>
          </a:extLst>
        </xdr:cNvPr>
        <xdr:cNvSpPr txBox="1"/>
      </xdr:nvSpPr>
      <xdr:spPr>
        <a:xfrm>
          <a:off x="6153150" y="61179075"/>
          <a:ext cx="1411348" cy="436786"/>
        </a:xfrm>
        <a:prstGeom prst="rect">
          <a:avLst/>
        </a:prstGeom>
        <a:solidFill>
          <a:schemeClr val="bg2">
            <a:lumMod val="9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DE" sz="1100"/>
            <a:t>- done by Brose</a:t>
          </a:r>
        </a:p>
        <a:p>
          <a:r>
            <a:rPr lang="de-DE" sz="1100"/>
            <a:t>- Simulation software</a:t>
          </a:r>
        </a:p>
      </xdr:txBody>
    </xdr:sp>
    <xdr:clientData/>
  </xdr:one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0</xdr:row>
          <xdr:rowOff>123825</xdr:rowOff>
        </xdr:from>
        <xdr:to>
          <xdr:col>7</xdr:col>
          <xdr:colOff>85725</xdr:colOff>
          <xdr:row>0</xdr:row>
          <xdr:rowOff>381000</xdr:rowOff>
        </xdr:to>
        <xdr:sp macro="" textlink="">
          <xdr:nvSpPr>
            <xdr:cNvPr id="5122" name="Drop Down 2" hidden="1">
              <a:extLst>
                <a:ext uri="{63B3BB69-23CF-44E3-9099-C40C66FF867C}">
                  <a14:compatExt spid="_x0000_s5122"/>
                </a:ext>
                <a:ext uri="{FF2B5EF4-FFF2-40B4-BE49-F238E27FC236}">
                  <a16:creationId xmlns:a16="http://schemas.microsoft.com/office/drawing/2014/main" id="{00000000-0008-0000-06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137.xml"/><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138.xml"/><Relationship Id="rId4" Type="http://schemas.openxmlformats.org/officeDocument/2006/relationships/vmlDrawing" Target="../drawings/vmlDrawing5.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139.xml"/><Relationship Id="rId4" Type="http://schemas.openxmlformats.org/officeDocument/2006/relationships/vmlDrawing" Target="../drawings/vmlDrawing7.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trlProp" Target="../ctrlProps/ctrlProp140.xml"/><Relationship Id="rId4" Type="http://schemas.openxmlformats.org/officeDocument/2006/relationships/vmlDrawing" Target="../drawings/vmlDrawing9.v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ustomProperty" Target="../customProperty7.bin"/><Relationship Id="rId13" Type="http://schemas.openxmlformats.org/officeDocument/2006/relationships/customProperty" Target="../customProperty12.bin"/><Relationship Id="rId18" Type="http://schemas.openxmlformats.org/officeDocument/2006/relationships/customProperty" Target="../customProperty17.bin"/><Relationship Id="rId3" Type="http://schemas.openxmlformats.org/officeDocument/2006/relationships/customProperty" Target="../customProperty2.bin"/><Relationship Id="rId21" Type="http://schemas.openxmlformats.org/officeDocument/2006/relationships/drawing" Target="../drawings/drawing6.xml"/><Relationship Id="rId7" Type="http://schemas.openxmlformats.org/officeDocument/2006/relationships/customProperty" Target="../customProperty6.bin"/><Relationship Id="rId12" Type="http://schemas.openxmlformats.org/officeDocument/2006/relationships/customProperty" Target="../customProperty11.bin"/><Relationship Id="rId17" Type="http://schemas.openxmlformats.org/officeDocument/2006/relationships/customProperty" Target="../customProperty16.bin"/><Relationship Id="rId2" Type="http://schemas.openxmlformats.org/officeDocument/2006/relationships/customProperty" Target="../customProperty1.bin"/><Relationship Id="rId16" Type="http://schemas.openxmlformats.org/officeDocument/2006/relationships/customProperty" Target="../customProperty15.bin"/><Relationship Id="rId20" Type="http://schemas.openxmlformats.org/officeDocument/2006/relationships/customProperty" Target="../customProperty19.bin"/><Relationship Id="rId1" Type="http://schemas.openxmlformats.org/officeDocument/2006/relationships/printerSettings" Target="../printerSettings/printerSettings7.bin"/><Relationship Id="rId6" Type="http://schemas.openxmlformats.org/officeDocument/2006/relationships/customProperty" Target="../customProperty5.bin"/><Relationship Id="rId11" Type="http://schemas.openxmlformats.org/officeDocument/2006/relationships/customProperty" Target="../customProperty10.bin"/><Relationship Id="rId24" Type="http://schemas.openxmlformats.org/officeDocument/2006/relationships/ctrlProp" Target="../ctrlProps/ctrlProp141.xml"/><Relationship Id="rId5" Type="http://schemas.openxmlformats.org/officeDocument/2006/relationships/customProperty" Target="../customProperty4.bin"/><Relationship Id="rId15" Type="http://schemas.openxmlformats.org/officeDocument/2006/relationships/customProperty" Target="../customProperty14.bin"/><Relationship Id="rId23" Type="http://schemas.openxmlformats.org/officeDocument/2006/relationships/vmlDrawing" Target="../drawings/vmlDrawing12.vml"/><Relationship Id="rId10" Type="http://schemas.openxmlformats.org/officeDocument/2006/relationships/customProperty" Target="../customProperty9.bin"/><Relationship Id="rId19" Type="http://schemas.openxmlformats.org/officeDocument/2006/relationships/customProperty" Target="../customProperty18.bin"/><Relationship Id="rId4" Type="http://schemas.openxmlformats.org/officeDocument/2006/relationships/customProperty" Target="../customProperty3.bin"/><Relationship Id="rId9" Type="http://schemas.openxmlformats.org/officeDocument/2006/relationships/customProperty" Target="../customProperty8.bin"/><Relationship Id="rId14" Type="http://schemas.openxmlformats.org/officeDocument/2006/relationships/customProperty" Target="../customProperty13.bin"/><Relationship Id="rId22"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eilepreis6">
    <tabColor indexed="50"/>
    <outlinePr summaryBelow="0" summaryRight="0"/>
  </sheetPr>
  <dimension ref="A1:BC187"/>
  <sheetViews>
    <sheetView showGridLines="0" tabSelected="1" zoomScale="115" zoomScaleNormal="115" zoomScaleSheetLayoutView="100" workbookViewId="0">
      <selection activeCell="L6" sqref="L6:R6"/>
    </sheetView>
  </sheetViews>
  <sheetFormatPr baseColWidth="10" defaultColWidth="11" defaultRowHeight="15.75" outlineLevelCol="1" x14ac:dyDescent="0.2"/>
  <cols>
    <col min="1" max="1" width="1.5" style="167" customWidth="1"/>
    <col min="2" max="12" width="4.375" style="181" customWidth="1"/>
    <col min="13" max="13" width="4.375" style="189" customWidth="1"/>
    <col min="14" max="14" width="4.375" style="181" customWidth="1"/>
    <col min="15" max="15" width="4.375" style="175" customWidth="1"/>
    <col min="16" max="28" width="4.375" style="181" customWidth="1"/>
    <col min="29" max="31" width="2.125" style="181" customWidth="1"/>
    <col min="32" max="32" width="4.375" style="181" customWidth="1"/>
    <col min="33" max="33" width="5.125" style="181" customWidth="1" collapsed="1"/>
    <col min="34" max="34" width="3.25" style="181" hidden="1" customWidth="1" outlineLevel="1"/>
    <col min="35" max="36" width="5.625" style="314" hidden="1" customWidth="1" outlineLevel="1"/>
    <col min="37" max="38" width="11.875" style="314" hidden="1" customWidth="1" outlineLevel="1"/>
    <col min="39" max="40" width="9.125" style="314" hidden="1" customWidth="1" outlineLevel="1"/>
    <col min="41" max="41" width="2.5" style="314" hidden="1" customWidth="1" outlineLevel="1"/>
    <col min="42" max="43" width="4.375" style="181" customWidth="1"/>
    <col min="44" max="44" width="4.125" style="181" customWidth="1"/>
    <col min="45" max="46" width="1.25" style="181" customWidth="1"/>
    <col min="47" max="47" width="2.125" style="186" customWidth="1"/>
    <col min="48" max="48" width="4.375" style="187" customWidth="1"/>
    <col min="49" max="49" width="11" style="188" customWidth="1"/>
    <col min="50" max="50" width="21.75" style="189" customWidth="1"/>
    <col min="51" max="52" width="9.875" style="181" customWidth="1"/>
    <col min="53" max="53" width="1.875" style="181" customWidth="1"/>
    <col min="54" max="73" width="4.375" style="181" customWidth="1"/>
    <col min="74" max="16384" width="11" style="181"/>
  </cols>
  <sheetData>
    <row r="1" spans="1:50" ht="40.5" customHeight="1" x14ac:dyDescent="0.2">
      <c r="A1" s="165"/>
      <c r="G1" s="182"/>
      <c r="J1" s="776" t="str">
        <f>HLOOKUP('4 Language'!$B$2,'4 Language'!$C$12:$H$183,2)</f>
        <v>Sprachauswahl 
(Select Language)</v>
      </c>
      <c r="K1" s="776"/>
      <c r="L1" s="776"/>
      <c r="M1" s="776"/>
      <c r="N1" s="182"/>
      <c r="O1" s="166"/>
      <c r="P1" s="166"/>
      <c r="Q1" s="166"/>
      <c r="R1" s="166"/>
      <c r="S1" s="166"/>
      <c r="T1" s="166"/>
      <c r="U1" s="166"/>
      <c r="V1" s="166"/>
      <c r="W1" s="166"/>
      <c r="X1" s="776" t="str">
        <f>HLOOKUP('4 Language'!$B$2,'4 Language'!$C$12:$H$183,21)</f>
        <v>Auswahl Anwendungsfall</v>
      </c>
      <c r="Y1" s="776"/>
      <c r="Z1" s="776" t="str">
        <f>'4 Language'!C5</f>
        <v xml:space="preserve"> i105 2K</v>
      </c>
      <c r="AA1" s="776"/>
      <c r="AB1" s="776"/>
      <c r="AC1" s="183"/>
      <c r="AD1" s="183"/>
      <c r="AE1" s="183"/>
      <c r="AF1" s="184"/>
      <c r="AG1" s="184"/>
      <c r="AH1" s="185"/>
      <c r="AI1" s="414"/>
      <c r="AJ1" s="414"/>
      <c r="AK1" s="414"/>
      <c r="AL1" s="414"/>
      <c r="AM1" s="414"/>
      <c r="AN1" s="414"/>
      <c r="AO1" s="414"/>
    </row>
    <row r="2" spans="1:50" ht="21" customHeight="1" x14ac:dyDescent="0.2">
      <c r="B2" s="862" t="s">
        <v>2855</v>
      </c>
      <c r="C2" s="862"/>
      <c r="D2" s="748" t="str">
        <f>HLOOKUP('4 Language'!$B$2,'4 Language'!$C$12:$H$307,245)</f>
        <v xml:space="preserve"> Werkzeug- und Prozessdaten - Spritzgießen</v>
      </c>
      <c r="L2" s="168"/>
      <c r="N2" s="169"/>
      <c r="O2" s="170"/>
      <c r="P2" s="171"/>
      <c r="Q2" s="171"/>
      <c r="R2" s="777" t="str">
        <f>HLOOKUP('4 Language'!$B$2,'4 Language'!$C$12:$H$307,8)</f>
        <v xml:space="preserve">Die mit einem * gekennzeichneten Felder sind für die FS (QVP) Pflichteingaben. Über oben stehende Auswahl sind die entsprechenden Felder hervorzuheben. </v>
      </c>
      <c r="S2" s="777" t="str">
        <f>HLOOKUP('4 Language'!$B$2,'4 Language'!$C$12:$H$307,8)</f>
        <v xml:space="preserve">Die mit einem * gekennzeichneten Felder sind für die FS (QVP) Pflichteingaben. Über oben stehende Auswahl sind die entsprechenden Felder hervorzuheben. </v>
      </c>
      <c r="T2" s="777"/>
      <c r="U2" s="777"/>
      <c r="V2" s="777"/>
      <c r="W2" s="777"/>
      <c r="X2" s="777"/>
      <c r="Y2" s="777"/>
      <c r="Z2" s="777"/>
      <c r="AA2" s="777"/>
      <c r="AB2" s="777"/>
      <c r="AC2" s="183"/>
      <c r="AD2" s="183"/>
      <c r="AE2" s="183"/>
      <c r="AF2" s="184"/>
      <c r="AG2" s="184"/>
      <c r="AH2" s="185"/>
      <c r="AI2" s="414"/>
      <c r="AJ2" s="414"/>
      <c r="AK2" s="414"/>
      <c r="AL2" s="414"/>
      <c r="AM2" s="414"/>
      <c r="AN2" s="414"/>
      <c r="AO2" s="414"/>
      <c r="AP2" s="183"/>
      <c r="AQ2" s="183"/>
      <c r="AR2" s="183"/>
      <c r="AT2" s="190"/>
    </row>
    <row r="3" spans="1:50" ht="19.5" customHeight="1" x14ac:dyDescent="0.2">
      <c r="B3" s="862"/>
      <c r="C3" s="862"/>
      <c r="D3" s="748" t="str">
        <f>HLOOKUP('4 Language'!$B$2,'4 Language'!$C$12:$H$321,310)</f>
        <v xml:space="preserve"> 2K / 3K Bauteile</v>
      </c>
      <c r="E3" s="439"/>
      <c r="F3" s="439"/>
      <c r="G3" s="439"/>
      <c r="H3" s="439"/>
      <c r="I3" s="439"/>
      <c r="J3" s="439"/>
      <c r="K3" s="439"/>
      <c r="L3" s="439"/>
      <c r="M3" s="439"/>
      <c r="N3" s="439"/>
      <c r="O3" s="439"/>
      <c r="P3" s="439"/>
      <c r="Q3" s="172"/>
      <c r="R3" s="777"/>
      <c r="S3" s="777"/>
      <c r="T3" s="777"/>
      <c r="U3" s="777"/>
      <c r="V3" s="777"/>
      <c r="W3" s="777"/>
      <c r="X3" s="777"/>
      <c r="Y3" s="777"/>
      <c r="Z3" s="777"/>
      <c r="AA3" s="777"/>
      <c r="AB3" s="777"/>
      <c r="AC3" s="183"/>
      <c r="AD3" s="183"/>
      <c r="AE3" s="183"/>
      <c r="AF3" s="184"/>
      <c r="AG3" s="184"/>
      <c r="AH3" s="185"/>
      <c r="AI3" s="414"/>
      <c r="AJ3" s="414"/>
      <c r="AK3" s="414"/>
      <c r="AL3" s="414"/>
      <c r="AM3" s="414"/>
      <c r="AN3" s="414"/>
      <c r="AO3" s="414"/>
      <c r="AP3" s="183"/>
      <c r="AQ3" s="183"/>
      <c r="AR3" s="183"/>
    </row>
    <row r="4" spans="1:50" ht="3.75" customHeight="1" x14ac:dyDescent="0.2">
      <c r="B4" s="756"/>
      <c r="C4" s="757"/>
      <c r="D4" s="757"/>
      <c r="E4" s="439"/>
      <c r="F4" s="439"/>
      <c r="G4" s="439"/>
      <c r="H4" s="439"/>
      <c r="I4" s="439"/>
      <c r="J4" s="439"/>
      <c r="K4" s="439"/>
      <c r="L4" s="439"/>
      <c r="M4" s="439"/>
      <c r="N4" s="439"/>
      <c r="O4" s="439"/>
      <c r="P4" s="439"/>
      <c r="Q4" s="171"/>
      <c r="R4" s="777"/>
      <c r="S4" s="777"/>
      <c r="T4" s="777"/>
      <c r="U4" s="777"/>
      <c r="V4" s="777"/>
      <c r="W4" s="777"/>
      <c r="X4" s="777"/>
      <c r="Y4" s="777"/>
      <c r="Z4" s="777"/>
      <c r="AA4" s="777"/>
      <c r="AB4" s="777"/>
      <c r="AC4" s="183"/>
      <c r="AD4" s="183"/>
      <c r="AE4" s="183"/>
      <c r="AF4" s="184"/>
      <c r="AG4" s="184"/>
      <c r="AH4" s="185"/>
      <c r="AI4" s="414"/>
      <c r="AJ4" s="414"/>
      <c r="AK4" s="414"/>
      <c r="AL4" s="414"/>
      <c r="AM4" s="414"/>
      <c r="AN4" s="414"/>
      <c r="AO4" s="414"/>
      <c r="AP4" s="183"/>
      <c r="AQ4" s="183"/>
      <c r="AR4" s="183"/>
    </row>
    <row r="5" spans="1:50" ht="5.25" customHeight="1" x14ac:dyDescent="0.2">
      <c r="B5" s="756"/>
      <c r="C5" s="757"/>
      <c r="D5" s="757"/>
      <c r="E5" s="439"/>
      <c r="F5" s="439"/>
      <c r="G5" s="439"/>
      <c r="H5" s="439"/>
      <c r="I5" s="439"/>
      <c r="J5" s="439"/>
      <c r="K5" s="439"/>
      <c r="L5" s="439"/>
      <c r="M5" s="439"/>
      <c r="N5" s="439"/>
      <c r="O5" s="439"/>
      <c r="P5" s="439"/>
      <c r="R5" s="777"/>
      <c r="S5" s="777"/>
      <c r="T5" s="777"/>
      <c r="U5" s="777"/>
      <c r="V5" s="777"/>
      <c r="W5" s="777"/>
      <c r="X5" s="777"/>
      <c r="Y5" s="777"/>
      <c r="Z5" s="777"/>
      <c r="AA5" s="777"/>
      <c r="AB5" s="777"/>
      <c r="AC5" s="191"/>
      <c r="AD5" s="191"/>
      <c r="AE5" s="191"/>
      <c r="AF5" s="184"/>
      <c r="AG5" s="184"/>
      <c r="AH5" s="185"/>
      <c r="AI5" s="414"/>
      <c r="AJ5" s="414"/>
      <c r="AK5" s="414"/>
      <c r="AL5" s="414"/>
      <c r="AM5" s="414"/>
      <c r="AN5" s="414"/>
      <c r="AO5" s="414"/>
      <c r="AP5" s="191"/>
      <c r="AQ5" s="191"/>
      <c r="AR5" s="191"/>
      <c r="AV5" s="192"/>
      <c r="AX5" s="193"/>
    </row>
    <row r="6" spans="1:50" ht="19.5" customHeight="1" x14ac:dyDescent="0.2">
      <c r="B6" s="599" t="str">
        <f>HLOOKUP('4 Language'!$B$2,'4 Language'!$C$12:$H$307,13)</f>
        <v>Bauteil I Teilenummer I Zeichnungsnummer</v>
      </c>
      <c r="C6" s="599"/>
      <c r="D6" s="599"/>
      <c r="E6" s="599"/>
      <c r="F6" s="599"/>
      <c r="G6" s="599"/>
      <c r="H6" s="599"/>
      <c r="I6" s="599"/>
      <c r="J6" s="599"/>
      <c r="K6" s="599"/>
      <c r="L6" s="795"/>
      <c r="M6" s="795"/>
      <c r="N6" s="795"/>
      <c r="O6" s="795"/>
      <c r="P6" s="795"/>
      <c r="Q6" s="795"/>
      <c r="R6" s="795"/>
      <c r="S6" s="600" t="s">
        <v>1512</v>
      </c>
      <c r="T6" s="796"/>
      <c r="U6" s="796"/>
      <c r="V6" s="796"/>
      <c r="W6" s="796"/>
      <c r="X6" s="600" t="s">
        <v>1512</v>
      </c>
      <c r="Y6" s="796"/>
      <c r="Z6" s="796"/>
      <c r="AA6" s="796"/>
      <c r="AB6" s="796"/>
      <c r="AC6" s="184"/>
      <c r="AD6" s="184"/>
      <c r="AE6" s="184"/>
      <c r="AF6" s="184"/>
      <c r="AG6" s="184"/>
      <c r="AH6" s="185"/>
      <c r="AI6" s="414"/>
      <c r="AJ6" s="414"/>
      <c r="AK6" s="414"/>
      <c r="AL6" s="414"/>
      <c r="AM6" s="414"/>
      <c r="AN6" s="414"/>
      <c r="AO6" s="414"/>
      <c r="AP6" s="184"/>
      <c r="AQ6" s="184"/>
      <c r="AR6" s="184"/>
      <c r="AS6" s="194"/>
      <c r="AV6" s="192"/>
      <c r="AX6" s="195"/>
    </row>
    <row r="7" spans="1:50" ht="19.5" customHeight="1" x14ac:dyDescent="0.2">
      <c r="B7" s="601" t="str">
        <f>HLOOKUP('4 Language'!$B$2,'4 Language'!$C$12:$H$307,12)</f>
        <v>Lieferant I Produktionsstandort I Prod. Datum</v>
      </c>
      <c r="C7" s="219"/>
      <c r="D7" s="219"/>
      <c r="E7" s="219"/>
      <c r="F7" s="219"/>
      <c r="G7" s="219"/>
      <c r="H7" s="219"/>
      <c r="I7" s="219"/>
      <c r="J7" s="219"/>
      <c r="K7" s="219"/>
      <c r="L7" s="797"/>
      <c r="M7" s="797"/>
      <c r="N7" s="797"/>
      <c r="O7" s="797"/>
      <c r="P7" s="797"/>
      <c r="Q7" s="797"/>
      <c r="R7" s="797"/>
      <c r="S7" s="602" t="s">
        <v>1512</v>
      </c>
      <c r="T7" s="798"/>
      <c r="U7" s="798"/>
      <c r="V7" s="798"/>
      <c r="W7" s="798"/>
      <c r="X7" s="602" t="s">
        <v>1512</v>
      </c>
      <c r="Y7" s="799"/>
      <c r="Z7" s="799"/>
      <c r="AA7" s="799"/>
      <c r="AB7" s="799"/>
      <c r="AC7" s="196"/>
      <c r="AD7" s="196"/>
      <c r="AE7" s="196"/>
      <c r="AF7" s="196"/>
      <c r="AG7" s="196"/>
      <c r="AH7" s="185"/>
      <c r="AI7" s="415"/>
      <c r="AJ7" s="415"/>
      <c r="AK7" s="415"/>
      <c r="AL7" s="415"/>
      <c r="AM7" s="415"/>
      <c r="AN7" s="415"/>
      <c r="AO7" s="415"/>
      <c r="AP7" s="196"/>
      <c r="AQ7" s="196"/>
      <c r="AR7" s="196"/>
      <c r="AS7" s="194"/>
      <c r="AV7" s="192"/>
      <c r="AX7" s="195"/>
    </row>
    <row r="8" spans="1:50" ht="9.75" customHeight="1" x14ac:dyDescent="0.2">
      <c r="B8" s="174"/>
      <c r="K8" s="653"/>
      <c r="P8" s="793"/>
      <c r="Q8" s="793"/>
      <c r="R8" s="793"/>
      <c r="S8" s="793"/>
      <c r="U8" s="598"/>
      <c r="V8" s="598"/>
      <c r="W8" s="598"/>
      <c r="X8" s="598"/>
      <c r="Y8" s="598"/>
      <c r="AA8" s="189"/>
      <c r="AH8" s="185"/>
    </row>
    <row r="9" spans="1:50" ht="19.5" customHeight="1" x14ac:dyDescent="0.2">
      <c r="B9" s="176" t="str">
        <f>HLOOKUP('4 Language'!$B$2,'4 Language'!$C$12:$H$307,16)</f>
        <v>Angaben zur Maschine und den Fertigungsparametern</v>
      </c>
      <c r="C9" s="173"/>
      <c r="D9" s="173"/>
      <c r="E9" s="173"/>
      <c r="F9" s="197"/>
      <c r="G9" s="197"/>
      <c r="H9" s="197"/>
      <c r="I9" s="197"/>
      <c r="J9" s="197"/>
      <c r="K9" s="654"/>
      <c r="L9" s="197"/>
      <c r="M9" s="177"/>
      <c r="N9" s="197"/>
      <c r="O9" s="197"/>
      <c r="P9" s="794"/>
      <c r="Q9" s="794"/>
      <c r="R9" s="794"/>
      <c r="S9" s="794"/>
      <c r="T9" s="197"/>
      <c r="U9" s="178"/>
      <c r="V9" s="179"/>
      <c r="W9" s="180"/>
      <c r="X9" s="180"/>
      <c r="Y9" s="590" t="s">
        <v>1827</v>
      </c>
      <c r="Z9" s="800" t="str">
        <f>'4 Language'!C5</f>
        <v xml:space="preserve"> i105 2K</v>
      </c>
      <c r="AA9" s="800"/>
      <c r="AB9" s="800"/>
      <c r="AH9" s="185"/>
      <c r="AI9" s="416"/>
      <c r="AJ9" s="416"/>
      <c r="AK9" s="416"/>
      <c r="AL9" s="416"/>
      <c r="AM9" s="416"/>
      <c r="AN9" s="416"/>
      <c r="AO9" s="416"/>
    </row>
    <row r="10" spans="1:50" ht="19.5" customHeight="1" x14ac:dyDescent="0.2">
      <c r="A10" s="198"/>
      <c r="B10" s="207" t="str">
        <f>"* "&amp;HLOOKUP('4 Language'!$B$2,'4 Language'!$C$12:$H$307,17)</f>
        <v>* Hersteller  I  Typ der Spritzgießmaschine</v>
      </c>
      <c r="C10" s="448"/>
      <c r="D10" s="171"/>
      <c r="E10" s="449"/>
      <c r="F10" s="449"/>
      <c r="G10" s="449"/>
      <c r="H10" s="449"/>
      <c r="I10" s="449"/>
      <c r="J10" s="449"/>
      <c r="K10" s="449"/>
      <c r="L10" s="449"/>
      <c r="M10" s="449"/>
      <c r="N10" s="449"/>
      <c r="P10" s="520" t="str">
        <f>"* "&amp;(HLOOKUP('4 Language'!$B$2,'4 Language'!$C$12:$H$307,22))</f>
        <v>* Maximale Schließkraft</v>
      </c>
      <c r="Q10" s="521"/>
      <c r="R10" s="521"/>
      <c r="S10" s="521"/>
      <c r="T10" s="521"/>
      <c r="U10" s="521"/>
      <c r="V10" s="521"/>
      <c r="W10" s="521"/>
      <c r="X10" s="521"/>
      <c r="Y10" s="826"/>
      <c r="Z10" s="826"/>
      <c r="AA10" s="826"/>
      <c r="AB10" s="521" t="s">
        <v>297</v>
      </c>
      <c r="AD10" s="199"/>
      <c r="AH10" s="185"/>
      <c r="AI10" s="416"/>
      <c r="AJ10" s="417" t="s">
        <v>1530</v>
      </c>
      <c r="AK10" s="416"/>
      <c r="AL10" s="416"/>
      <c r="AM10" s="416"/>
      <c r="AN10" s="416"/>
      <c r="AO10" s="416"/>
    </row>
    <row r="11" spans="1:50" ht="19.5" customHeight="1" x14ac:dyDescent="0.2">
      <c r="A11" s="198"/>
      <c r="B11" s="672"/>
      <c r="C11" s="672"/>
      <c r="D11" s="672"/>
      <c r="E11" s="672"/>
      <c r="F11" s="672"/>
      <c r="G11" s="672"/>
      <c r="H11" s="673" t="s">
        <v>1512</v>
      </c>
      <c r="I11" s="830"/>
      <c r="J11" s="830"/>
      <c r="K11" s="830"/>
      <c r="L11" s="830"/>
      <c r="M11" s="830"/>
      <c r="N11" s="830"/>
      <c r="P11" s="495" t="str">
        <f>"* "&amp;(HLOOKUP('4 Language'!$B$2,'4 Language'!$C$12:$H$307,23))</f>
        <v>* Eingestellte Schließkraft</v>
      </c>
      <c r="Q11" s="496"/>
      <c r="R11" s="496"/>
      <c r="S11" s="496"/>
      <c r="T11" s="496"/>
      <c r="U11" s="496"/>
      <c r="V11" s="496"/>
      <c r="W11" s="496"/>
      <c r="X11" s="496"/>
      <c r="Y11" s="781"/>
      <c r="Z11" s="781"/>
      <c r="AA11" s="781"/>
      <c r="AB11" s="496" t="s">
        <v>297</v>
      </c>
      <c r="AD11" s="199"/>
      <c r="AH11" s="200"/>
      <c r="AI11" s="418">
        <v>1</v>
      </c>
      <c r="AJ11" s="419" t="str">
        <f>HLOOKUP('4 Language'!$B$2,'4 Language'!$C$12:$H$307,19)</f>
        <v>Angaben zur FS [QVP]</v>
      </c>
      <c r="AK11" s="420"/>
      <c r="AL11" s="420"/>
      <c r="AM11" s="416"/>
      <c r="AN11" s="416"/>
      <c r="AO11" s="416"/>
    </row>
    <row r="12" spans="1:50" ht="20.45" customHeight="1" x14ac:dyDescent="0.2">
      <c r="A12" s="198"/>
      <c r="B12" s="495" t="str">
        <f>"* "&amp;HLOOKUP('4 Language'!$B$2,'4 Language'!$C$12:$H$307,18)</f>
        <v>* Baujahr der Maschine / der Spritzeinheit</v>
      </c>
      <c r="C12" s="596"/>
      <c r="D12" s="596"/>
      <c r="E12" s="596"/>
      <c r="F12" s="596"/>
      <c r="G12" s="596"/>
      <c r="H12" s="496"/>
      <c r="I12" s="496"/>
      <c r="J12" s="818"/>
      <c r="K12" s="819"/>
      <c r="L12" s="827"/>
      <c r="M12" s="828"/>
      <c r="N12" s="596"/>
      <c r="P12" s="495" t="str">
        <f>"* "&amp;(HLOOKUP('4 Language'!$B$2,'4 Language'!$C$12:$H$307,262))</f>
        <v>* Auswahl der 2K- / 3K-Technologie</v>
      </c>
      <c r="Q12" s="496"/>
      <c r="R12" s="496"/>
      <c r="S12" s="496"/>
      <c r="T12" s="496"/>
      <c r="U12" s="496"/>
      <c r="V12" s="496"/>
      <c r="W12" s="496"/>
      <c r="X12" s="496"/>
      <c r="Y12" s="496"/>
      <c r="Z12" s="496"/>
      <c r="AA12" s="496"/>
      <c r="AB12" s="496"/>
      <c r="AD12" s="199"/>
      <c r="AH12" s="200"/>
      <c r="AI12" s="416"/>
      <c r="AJ12" s="419" t="str">
        <f>HLOOKUP('4 Language'!$B$2,'4 Language'!$C$12:$H$307,20)</f>
        <v>Prozess Bewertung</v>
      </c>
      <c r="AK12" s="420"/>
      <c r="AL12" s="420"/>
      <c r="AM12" s="416"/>
      <c r="AN12" s="416"/>
      <c r="AO12" s="416"/>
    </row>
    <row r="13" spans="1:50" ht="20.45" customHeight="1" x14ac:dyDescent="0.2">
      <c r="A13" s="198"/>
      <c r="B13" s="495" t="str">
        <f>"* "&amp;HLOOKUP('4 Language'!$B$2,'4 Language'!$C$12:$H$307,263)</f>
        <v>* Gesamtzyklus</v>
      </c>
      <c r="C13" s="495"/>
      <c r="D13" s="495"/>
      <c r="E13" s="495"/>
      <c r="F13" s="495"/>
      <c r="G13" s="495"/>
      <c r="H13" s="495"/>
      <c r="I13" s="495"/>
      <c r="J13" s="495"/>
      <c r="K13" s="809"/>
      <c r="L13" s="809"/>
      <c r="M13" s="809"/>
      <c r="N13" s="496" t="s">
        <v>7</v>
      </c>
      <c r="P13" s="495" t="str">
        <f>"* "&amp;(HLOOKUP('4 Language'!$B$2,'4 Language'!$C$12:$H$307,264))</f>
        <v>* Werkzeugauslegung</v>
      </c>
      <c r="Q13" s="496"/>
      <c r="R13" s="496"/>
      <c r="S13" s="496"/>
      <c r="T13" s="496"/>
      <c r="U13" s="496"/>
      <c r="V13" s="496"/>
      <c r="W13" s="496"/>
      <c r="X13" s="496"/>
      <c r="Y13" s="496"/>
      <c r="Z13" s="496"/>
      <c r="AA13" s="496"/>
      <c r="AB13" s="496"/>
      <c r="AD13" s="199"/>
      <c r="AH13" s="200"/>
      <c r="AI13" s="416"/>
      <c r="AJ13" s="419" t="str">
        <f>HLOOKUP('4 Language'!$B$2,'4 Language'!$C$12:$H$307,130)</f>
        <v>Seriennahe Bauteile [Prototypen]</v>
      </c>
      <c r="AK13" s="420"/>
      <c r="AL13" s="420"/>
      <c r="AM13" s="416"/>
      <c r="AN13" s="416"/>
      <c r="AO13" s="416"/>
    </row>
    <row r="14" spans="1:50" ht="9.75" customHeight="1" x14ac:dyDescent="0.2">
      <c r="A14" s="198"/>
      <c r="AD14" s="199"/>
      <c r="AH14" s="200"/>
      <c r="AI14" s="416"/>
      <c r="AJ14" s="416"/>
      <c r="AK14" s="416"/>
      <c r="AL14" s="416"/>
      <c r="AM14" s="416"/>
      <c r="AN14" s="416"/>
      <c r="AO14" s="416"/>
    </row>
    <row r="15" spans="1:50" ht="19.5" customHeight="1" x14ac:dyDescent="0.2">
      <c r="A15" s="198"/>
      <c r="B15" s="201" t="str">
        <f>HLOOKUP('4 Language'!$B$2,'4 Language'!$C$12:$H$307,265)</f>
        <v>Angaben zu den einzelnen Komponenten</v>
      </c>
      <c r="C15" s="202"/>
      <c r="D15" s="202"/>
      <c r="E15" s="202"/>
      <c r="F15" s="202"/>
      <c r="G15" s="202"/>
      <c r="H15" s="202"/>
      <c r="I15" s="202"/>
      <c r="J15" s="202"/>
      <c r="K15" s="202"/>
      <c r="L15" s="202"/>
      <c r="M15" s="203"/>
      <c r="N15" s="204" t="str">
        <f>HLOOKUP('4 Language'!$B$2,'4 Language'!$C$12:$H$307,252)</f>
        <v xml:space="preserve">Komponente   </v>
      </c>
      <c r="O15" s="203">
        <v>1</v>
      </c>
      <c r="P15" s="202"/>
      <c r="Q15" s="202"/>
      <c r="R15" s="202"/>
      <c r="S15" s="202"/>
      <c r="T15" s="204" t="str">
        <f>HLOOKUP('4 Language'!$B$2,'4 Language'!$C$12:$H$307,252)</f>
        <v xml:space="preserve">Komponente   </v>
      </c>
      <c r="U15" s="203">
        <v>2</v>
      </c>
      <c r="V15" s="202"/>
      <c r="W15" s="202"/>
      <c r="X15" s="202"/>
      <c r="Y15" s="202"/>
      <c r="Z15" s="204" t="str">
        <f>HLOOKUP('4 Language'!$B$2,'4 Language'!$C$12:$H$307,252)</f>
        <v xml:space="preserve">Komponente   </v>
      </c>
      <c r="AA15" s="203">
        <v>3</v>
      </c>
      <c r="AB15" s="202"/>
      <c r="AD15" s="199"/>
      <c r="AH15" s="185"/>
      <c r="AI15" s="421"/>
      <c r="AJ15" s="421"/>
      <c r="AK15" s="422" t="s">
        <v>1623</v>
      </c>
      <c r="AL15" s="421"/>
      <c r="AM15" s="421"/>
      <c r="AN15" s="421"/>
      <c r="AO15" s="416"/>
    </row>
    <row r="16" spans="1:50" ht="20.45" customHeight="1" x14ac:dyDescent="0.2">
      <c r="A16" s="198"/>
      <c r="B16" s="516" t="str">
        <f>"* "&amp;(HLOOKUP('4 Language'!$B$2,'4 Language'!$C$12:$H$307,79))</f>
        <v>* Rohstofftyp</v>
      </c>
      <c r="C16" s="571"/>
      <c r="D16" s="571"/>
      <c r="E16" s="571"/>
      <c r="F16" s="571"/>
      <c r="G16" s="571"/>
      <c r="H16" s="571"/>
      <c r="I16" s="571"/>
      <c r="J16" s="572" t="s">
        <v>653</v>
      </c>
      <c r="K16" s="572"/>
      <c r="L16" s="573">
        <f>'3 Selection fields'!V11</f>
        <v>1</v>
      </c>
      <c r="M16" s="574"/>
      <c r="N16" s="530"/>
      <c r="O16" s="575"/>
      <c r="P16" s="575"/>
      <c r="Q16" s="575"/>
      <c r="R16" s="530">
        <f>'3 Selection fields'!V12</f>
        <v>1</v>
      </c>
      <c r="S16" s="530"/>
      <c r="T16" s="530"/>
      <c r="U16" s="571"/>
      <c r="V16" s="575"/>
      <c r="W16" s="575"/>
      <c r="X16" s="530">
        <f>'3 Selection fields'!V13</f>
        <v>1</v>
      </c>
      <c r="Y16" s="571"/>
      <c r="Z16" s="571"/>
      <c r="AA16" s="571"/>
      <c r="AB16" s="576"/>
      <c r="AC16" s="205"/>
      <c r="AD16" s="199"/>
      <c r="AE16" s="205"/>
      <c r="AF16" s="205"/>
      <c r="AG16" s="205"/>
      <c r="AH16" s="200"/>
      <c r="AI16" s="418">
        <v>1</v>
      </c>
      <c r="AJ16" s="422" t="s">
        <v>1526</v>
      </c>
      <c r="AK16" s="422" t="s">
        <v>1518</v>
      </c>
      <c r="AL16" s="423"/>
      <c r="AM16" s="421"/>
      <c r="AN16" s="421"/>
      <c r="AO16" s="421"/>
      <c r="AP16" s="205"/>
      <c r="AQ16" s="205"/>
      <c r="AR16" s="205"/>
    </row>
    <row r="17" spans="2:44" ht="19.5" customHeight="1" x14ac:dyDescent="0.2">
      <c r="B17" s="525" t="str">
        <f>"* "&amp;HLOOKUP('4 Language'!$B$2,'4 Language'!$C$12:$H$307,246)</f>
        <v>* Hersteller</v>
      </c>
      <c r="C17" s="577"/>
      <c r="D17" s="577"/>
      <c r="E17" s="577"/>
      <c r="F17" s="577"/>
      <c r="G17" s="577"/>
      <c r="H17" s="577"/>
      <c r="I17" s="577"/>
      <c r="J17" s="577"/>
      <c r="K17" s="577"/>
      <c r="L17" s="831"/>
      <c r="M17" s="831"/>
      <c r="N17" s="831"/>
      <c r="O17" s="831"/>
      <c r="P17" s="577"/>
      <c r="Q17" s="577"/>
      <c r="R17" s="831"/>
      <c r="S17" s="831"/>
      <c r="T17" s="831"/>
      <c r="U17" s="831"/>
      <c r="V17" s="577"/>
      <c r="W17" s="577"/>
      <c r="X17" s="831"/>
      <c r="Y17" s="831"/>
      <c r="Z17" s="831"/>
      <c r="AA17" s="831"/>
      <c r="AB17" s="577"/>
      <c r="AC17" s="205"/>
      <c r="AD17" s="199"/>
      <c r="AE17" s="205"/>
      <c r="AF17" s="205"/>
      <c r="AG17" s="205"/>
      <c r="AH17" s="200"/>
      <c r="AI17" s="418">
        <v>1</v>
      </c>
      <c r="AJ17" s="422" t="s">
        <v>1608</v>
      </c>
      <c r="AK17" s="422" t="s">
        <v>1525</v>
      </c>
      <c r="AL17" s="423"/>
      <c r="AM17" s="427">
        <f>VLOOKUP('3 Selection fields'!H15,'3 Selection fields'!G16:I30,3)</f>
        <v>0</v>
      </c>
      <c r="AN17" s="421"/>
      <c r="AO17" s="421"/>
      <c r="AP17" s="205"/>
      <c r="AQ17" s="205"/>
      <c r="AR17" s="205"/>
    </row>
    <row r="18" spans="2:44" ht="19.5" customHeight="1" x14ac:dyDescent="0.2">
      <c r="B18" s="495" t="str">
        <f>"* "&amp;(HLOOKUP('4 Language'!$B$2,'4 Language'!$C$12:$H$307,80))</f>
        <v>* Herstellerbezeichnung</v>
      </c>
      <c r="C18" s="577"/>
      <c r="D18" s="577"/>
      <c r="E18" s="577"/>
      <c r="F18" s="577"/>
      <c r="G18" s="577"/>
      <c r="H18" s="577"/>
      <c r="I18" s="577"/>
      <c r="J18" s="577"/>
      <c r="K18" s="577"/>
      <c r="L18" s="831"/>
      <c r="M18" s="831"/>
      <c r="N18" s="831"/>
      <c r="O18" s="831"/>
      <c r="P18" s="577"/>
      <c r="Q18" s="577"/>
      <c r="R18" s="831"/>
      <c r="S18" s="831"/>
      <c r="T18" s="831"/>
      <c r="U18" s="831"/>
      <c r="V18" s="577"/>
      <c r="W18" s="577"/>
      <c r="X18" s="831"/>
      <c r="Y18" s="831"/>
      <c r="Z18" s="831"/>
      <c r="AA18" s="831"/>
      <c r="AB18" s="577"/>
      <c r="AC18" s="205"/>
      <c r="AD18" s="199"/>
      <c r="AE18" s="205"/>
      <c r="AF18" s="205"/>
      <c r="AG18" s="205"/>
      <c r="AH18" s="200"/>
      <c r="AI18" s="418">
        <v>1</v>
      </c>
      <c r="AJ18" s="422" t="s">
        <v>1609</v>
      </c>
      <c r="AK18" s="422" t="s">
        <v>1524</v>
      </c>
      <c r="AL18" s="423"/>
      <c r="AM18" s="427" t="str">
        <f>IF('3 Selection fields'!$V$11=2,L20,VLOOKUP('3 Selection fields'!V11,'3 Selection fields'!U16:X68,3))</f>
        <v>select</v>
      </c>
      <c r="AN18" s="428" t="str">
        <f>IF('3 Selection fields'!$V$11=2,L20,VLOOKUP('3 Selection fields'!V11,'3 Selection fields'!U16:X68,4))</f>
        <v>select</v>
      </c>
      <c r="AO18" s="421"/>
      <c r="AP18" s="205"/>
      <c r="AQ18" s="205"/>
      <c r="AR18" s="205"/>
    </row>
    <row r="19" spans="2:44" ht="19.5" customHeight="1" x14ac:dyDescent="0.2">
      <c r="B19" s="495" t="str">
        <f>HLOOKUP('4 Language'!$B$2,'4 Language'!$C$12:$H$307,174)</f>
        <v>Chargen-Kennzeichnung</v>
      </c>
      <c r="C19" s="577"/>
      <c r="D19" s="577"/>
      <c r="E19" s="577"/>
      <c r="F19" s="577"/>
      <c r="G19" s="577"/>
      <c r="H19" s="577"/>
      <c r="I19" s="577"/>
      <c r="J19" s="577"/>
      <c r="K19" s="577"/>
      <c r="L19" s="831"/>
      <c r="M19" s="831"/>
      <c r="N19" s="831"/>
      <c r="O19" s="831"/>
      <c r="P19" s="577"/>
      <c r="Q19" s="577"/>
      <c r="R19" s="831"/>
      <c r="S19" s="831"/>
      <c r="T19" s="831"/>
      <c r="U19" s="831"/>
      <c r="V19" s="577"/>
      <c r="W19" s="577"/>
      <c r="X19" s="831"/>
      <c r="Y19" s="831"/>
      <c r="Z19" s="831"/>
      <c r="AA19" s="831"/>
      <c r="AB19" s="577"/>
      <c r="AC19" s="205"/>
      <c r="AD19" s="199"/>
      <c r="AE19" s="205"/>
      <c r="AF19" s="205"/>
      <c r="AG19" s="205"/>
      <c r="AH19" s="200"/>
      <c r="AI19" s="418">
        <v>1</v>
      </c>
      <c r="AJ19" s="422" t="s">
        <v>1610</v>
      </c>
      <c r="AK19" s="422" t="s">
        <v>1523</v>
      </c>
      <c r="AL19" s="423"/>
      <c r="AM19" s="427" t="str">
        <f>IF('3 Selection fields'!$V$12=2,$R20,VLOOKUP('3 Selection fields'!V12,'3 Selection fields'!U16:X68,3))</f>
        <v>select</v>
      </c>
      <c r="AN19" s="428" t="str">
        <f>IF('3 Selection fields'!$V$12=2,$R20,VLOOKUP('3 Selection fields'!V12,'3 Selection fields'!U16:X68,4))</f>
        <v>select</v>
      </c>
      <c r="AO19" s="421"/>
      <c r="AP19" s="205"/>
      <c r="AQ19" s="205"/>
      <c r="AR19" s="205"/>
    </row>
    <row r="20" spans="2:44" ht="19.5" customHeight="1" x14ac:dyDescent="0.2">
      <c r="B20" s="495" t="str">
        <f>"* "&amp;(HLOOKUP('4 Language'!$B$2,'4 Language'!$C$12:$H$307,82))</f>
        <v>* Dichte (Schmelze) über Auswahl "Rohstofftyp"</v>
      </c>
      <c r="C20" s="577"/>
      <c r="D20" s="577"/>
      <c r="E20" s="577"/>
      <c r="F20" s="577"/>
      <c r="G20" s="577"/>
      <c r="H20" s="577"/>
      <c r="I20" s="577"/>
      <c r="J20" s="578"/>
      <c r="K20" s="579"/>
      <c r="L20" s="829"/>
      <c r="M20" s="829"/>
      <c r="N20" s="810" t="str">
        <f>VLOOKUP('3 Selection fields'!V11,'3 Selection fields'!U16:X68,3)</f>
        <v>select</v>
      </c>
      <c r="O20" s="811"/>
      <c r="P20" s="580" t="s">
        <v>1703</v>
      </c>
      <c r="Q20" s="579"/>
      <c r="R20" s="829"/>
      <c r="S20" s="829"/>
      <c r="T20" s="810" t="str">
        <f>VLOOKUP('3 Selection fields'!V12,'3 Selection fields'!U16:X68,3)</f>
        <v>select</v>
      </c>
      <c r="U20" s="811"/>
      <c r="V20" s="580" t="s">
        <v>1703</v>
      </c>
      <c r="W20" s="579"/>
      <c r="X20" s="829"/>
      <c r="Y20" s="829"/>
      <c r="Z20" s="810" t="str">
        <f>VLOOKUP('3 Selection fields'!V13,'3 Selection fields'!U16:X68,3)</f>
        <v>select</v>
      </c>
      <c r="AA20" s="811"/>
      <c r="AB20" s="580" t="s">
        <v>1703</v>
      </c>
      <c r="AC20" s="205"/>
      <c r="AD20" s="199"/>
      <c r="AE20" s="205"/>
      <c r="AF20" s="205"/>
      <c r="AG20" s="205"/>
      <c r="AH20" s="200"/>
      <c r="AI20" s="418">
        <v>1</v>
      </c>
      <c r="AJ20" s="422" t="s">
        <v>1611</v>
      </c>
      <c r="AK20" s="422" t="s">
        <v>1522</v>
      </c>
      <c r="AL20" s="423"/>
      <c r="AM20" s="427" t="str">
        <f>IF('3 Selection fields'!$V$13=2,$X20,VLOOKUP('3 Selection fields'!V13,'3 Selection fields'!U16:X68,3))</f>
        <v>select</v>
      </c>
      <c r="AN20" s="428" t="str">
        <f>IF('3 Selection fields'!$V$13=2,$X20,VLOOKUP('3 Selection fields'!V13,'3 Selection fields'!U16:X68,4))</f>
        <v>select</v>
      </c>
      <c r="AO20" s="421"/>
      <c r="AP20" s="205"/>
      <c r="AQ20" s="205"/>
      <c r="AR20" s="205"/>
    </row>
    <row r="21" spans="2:44" ht="19.5" customHeight="1" x14ac:dyDescent="0.2">
      <c r="B21" s="495" t="str">
        <f>"* "&amp;(HLOOKUP('4 Language'!$B$2,'4 Language'!$C$12:$H$307,74))</f>
        <v>* Schussgewicht  FS / EMPB   [inkl. Anguss]</v>
      </c>
      <c r="C21" s="577"/>
      <c r="D21" s="577"/>
      <c r="E21" s="577"/>
      <c r="F21" s="577"/>
      <c r="G21" s="577"/>
      <c r="H21" s="577"/>
      <c r="I21" s="577"/>
      <c r="J21" s="578"/>
      <c r="K21" s="577"/>
      <c r="L21" s="569"/>
      <c r="M21" s="569"/>
      <c r="N21" s="824"/>
      <c r="O21" s="825"/>
      <c r="P21" s="580" t="s">
        <v>304</v>
      </c>
      <c r="Q21" s="496"/>
      <c r="R21" s="569"/>
      <c r="S21" s="569"/>
      <c r="T21" s="824"/>
      <c r="U21" s="825"/>
      <c r="V21" s="580" t="s">
        <v>304</v>
      </c>
      <c r="W21" s="496"/>
      <c r="X21" s="569"/>
      <c r="Y21" s="569"/>
      <c r="Z21" s="824"/>
      <c r="AA21" s="825"/>
      <c r="AB21" s="580" t="s">
        <v>304</v>
      </c>
      <c r="AC21" s="205"/>
      <c r="AD21" s="199"/>
      <c r="AE21" s="205"/>
      <c r="AF21" s="205"/>
      <c r="AG21" s="205"/>
      <c r="AH21" s="200"/>
      <c r="AI21" s="418">
        <v>5</v>
      </c>
      <c r="AJ21" s="422" t="s">
        <v>1612</v>
      </c>
      <c r="AK21" s="422" t="s">
        <v>1607</v>
      </c>
      <c r="AL21" s="423"/>
      <c r="AM21" s="423"/>
      <c r="AN21" s="423"/>
      <c r="AO21" s="421"/>
      <c r="AP21" s="205"/>
      <c r="AQ21" s="205"/>
      <c r="AR21" s="205"/>
    </row>
    <row r="22" spans="2:44" ht="19.5" customHeight="1" x14ac:dyDescent="0.2">
      <c r="B22" s="495" t="str">
        <f>"* "&amp;(HLOOKUP('4 Language'!$B$2,'4 Language'!$C$12:$H$307,25))</f>
        <v>* Schneckendurchmesser</v>
      </c>
      <c r="C22" s="577"/>
      <c r="D22" s="577"/>
      <c r="E22" s="577"/>
      <c r="F22" s="577"/>
      <c r="G22" s="577"/>
      <c r="H22" s="577"/>
      <c r="I22" s="577"/>
      <c r="J22" s="577"/>
      <c r="K22" s="577"/>
      <c r="L22" s="569"/>
      <c r="M22" s="569"/>
      <c r="N22" s="784"/>
      <c r="O22" s="785"/>
      <c r="P22" s="563" t="s">
        <v>292</v>
      </c>
      <c r="Q22" s="496"/>
      <c r="R22" s="569"/>
      <c r="S22" s="569"/>
      <c r="T22" s="784"/>
      <c r="U22" s="785"/>
      <c r="V22" s="563" t="s">
        <v>292</v>
      </c>
      <c r="W22" s="496"/>
      <c r="X22" s="569"/>
      <c r="Y22" s="569"/>
      <c r="Z22" s="784"/>
      <c r="AA22" s="785"/>
      <c r="AB22" s="563" t="s">
        <v>292</v>
      </c>
      <c r="AC22" s="205"/>
      <c r="AD22" s="199"/>
      <c r="AE22" s="205"/>
      <c r="AF22" s="205"/>
      <c r="AG22" s="205"/>
      <c r="AH22" s="200"/>
      <c r="AI22" s="418">
        <v>1</v>
      </c>
      <c r="AJ22" s="422" t="s">
        <v>2792</v>
      </c>
      <c r="AK22" s="422" t="s">
        <v>1521</v>
      </c>
      <c r="AL22" s="423"/>
      <c r="AM22" s="423"/>
      <c r="AN22" s="423"/>
      <c r="AO22" s="421"/>
      <c r="AP22" s="205"/>
      <c r="AQ22" s="205"/>
      <c r="AR22" s="205"/>
    </row>
    <row r="23" spans="2:44" ht="19.5" customHeight="1" x14ac:dyDescent="0.2">
      <c r="B23" s="495" t="str">
        <f>HLOOKUP('4 Language'!$B$2,'4 Language'!$C$12:$H$307,26)</f>
        <v>Schneckenlänge / Schneckendurchmesser Verhältnis</v>
      </c>
      <c r="C23" s="577"/>
      <c r="D23" s="577"/>
      <c r="E23" s="577"/>
      <c r="F23" s="577"/>
      <c r="G23" s="577"/>
      <c r="H23" s="577"/>
      <c r="I23" s="577"/>
      <c r="J23" s="577"/>
      <c r="K23" s="577"/>
      <c r="L23" s="569"/>
      <c r="M23" s="569"/>
      <c r="N23" s="780"/>
      <c r="O23" s="781"/>
      <c r="P23" s="581" t="s">
        <v>479</v>
      </c>
      <c r="Q23" s="496"/>
      <c r="R23" s="569"/>
      <c r="S23" s="569"/>
      <c r="T23" s="780"/>
      <c r="U23" s="781"/>
      <c r="V23" s="581" t="s">
        <v>479</v>
      </c>
      <c r="W23" s="496"/>
      <c r="X23" s="569"/>
      <c r="Y23" s="569"/>
      <c r="Z23" s="780"/>
      <c r="AA23" s="781"/>
      <c r="AB23" s="581" t="s">
        <v>479</v>
      </c>
      <c r="AC23" s="205"/>
      <c r="AD23" s="199"/>
      <c r="AE23" s="205"/>
      <c r="AF23" s="205"/>
      <c r="AG23" s="205"/>
      <c r="AH23" s="200"/>
      <c r="AI23" s="418">
        <v>1</v>
      </c>
      <c r="AJ23" s="422" t="s">
        <v>2793</v>
      </c>
      <c r="AK23" s="422" t="s">
        <v>1520</v>
      </c>
      <c r="AL23" s="423"/>
      <c r="AM23" s="423"/>
      <c r="AN23" s="423"/>
      <c r="AO23" s="421"/>
      <c r="AP23" s="205"/>
      <c r="AQ23" s="205"/>
      <c r="AR23" s="205"/>
    </row>
    <row r="24" spans="2:44" ht="19.5" customHeight="1" x14ac:dyDescent="0.2">
      <c r="B24" s="495" t="str">
        <f>"* "&amp;HLOOKUP('4 Language'!$B$2,'4 Language'!$C$12:$H$307,28)</f>
        <v>* max. Plastifizierstrom der Maschine (Basis von  PS)</v>
      </c>
      <c r="C24" s="577"/>
      <c r="D24" s="577"/>
      <c r="E24" s="577"/>
      <c r="F24" s="577"/>
      <c r="G24" s="577"/>
      <c r="H24" s="577"/>
      <c r="I24" s="577"/>
      <c r="J24" s="577"/>
      <c r="K24" s="577"/>
      <c r="L24" s="569"/>
      <c r="M24" s="569"/>
      <c r="N24" s="784"/>
      <c r="O24" s="785"/>
      <c r="P24" s="499" t="s">
        <v>298</v>
      </c>
      <c r="Q24" s="496"/>
      <c r="R24" s="569"/>
      <c r="S24" s="569"/>
      <c r="T24" s="784"/>
      <c r="U24" s="785"/>
      <c r="V24" s="499" t="s">
        <v>298</v>
      </c>
      <c r="W24" s="496"/>
      <c r="X24" s="569"/>
      <c r="Y24" s="569"/>
      <c r="Z24" s="784"/>
      <c r="AA24" s="785"/>
      <c r="AB24" s="499" t="s">
        <v>298</v>
      </c>
      <c r="AC24" s="205"/>
      <c r="AD24" s="199"/>
      <c r="AE24" s="205"/>
      <c r="AF24" s="205"/>
      <c r="AG24" s="205"/>
      <c r="AH24" s="200"/>
      <c r="AI24" s="418">
        <v>1</v>
      </c>
      <c r="AJ24" s="422" t="s">
        <v>2794</v>
      </c>
      <c r="AK24" s="422" t="s">
        <v>1519</v>
      </c>
      <c r="AL24" s="423"/>
      <c r="AM24" s="423"/>
      <c r="AN24" s="423"/>
      <c r="AO24" s="421"/>
      <c r="AP24" s="205"/>
      <c r="AQ24" s="205"/>
      <c r="AR24" s="205"/>
    </row>
    <row r="25" spans="2:44" ht="19.5" customHeight="1" x14ac:dyDescent="0.2">
      <c r="B25" s="495" t="str">
        <f>"* "&amp;(HLOOKUP('4 Language'!$B$2,'4 Language'!$C$12:$H$307,29))</f>
        <v>* Maximal mögliches Dosiervolumen</v>
      </c>
      <c r="C25" s="577"/>
      <c r="D25" s="577"/>
      <c r="E25" s="577"/>
      <c r="F25" s="577"/>
      <c r="G25" s="577"/>
      <c r="H25" s="577"/>
      <c r="I25" s="577"/>
      <c r="J25" s="569"/>
      <c r="K25" s="577"/>
      <c r="L25" s="569"/>
      <c r="M25" s="569"/>
      <c r="N25" s="780"/>
      <c r="O25" s="781"/>
      <c r="P25" s="563" t="s">
        <v>5</v>
      </c>
      <c r="Q25" s="496"/>
      <c r="R25" s="569"/>
      <c r="S25" s="569"/>
      <c r="T25" s="780"/>
      <c r="U25" s="781"/>
      <c r="V25" s="563" t="s">
        <v>5</v>
      </c>
      <c r="W25" s="496"/>
      <c r="X25" s="569"/>
      <c r="Y25" s="569"/>
      <c r="Z25" s="780"/>
      <c r="AA25" s="781"/>
      <c r="AB25" s="563" t="s">
        <v>5</v>
      </c>
      <c r="AC25" s="205"/>
      <c r="AD25" s="199"/>
      <c r="AE25" s="205"/>
      <c r="AF25" s="205"/>
      <c r="AG25" s="205"/>
      <c r="AH25" s="200"/>
      <c r="AI25" s="418">
        <f>1</f>
        <v>1</v>
      </c>
      <c r="AJ25" s="422" t="s">
        <v>1613</v>
      </c>
      <c r="AK25" s="422" t="s">
        <v>1614</v>
      </c>
      <c r="AL25" s="423"/>
      <c r="AM25" s="423"/>
      <c r="AN25" s="423"/>
      <c r="AO25" s="421"/>
      <c r="AP25" s="205"/>
      <c r="AQ25" s="205"/>
      <c r="AR25" s="205"/>
    </row>
    <row r="26" spans="2:44" ht="19.5" customHeight="1" x14ac:dyDescent="0.2">
      <c r="B26" s="495" t="str">
        <f>"* "&amp;(HLOOKUP('4 Language'!$B$2,'4 Language'!$C$12:$H$307,30))</f>
        <v>* Schußvolumen (berechnet)</v>
      </c>
      <c r="C26" s="577"/>
      <c r="D26" s="577"/>
      <c r="E26" s="577"/>
      <c r="F26" s="577"/>
      <c r="G26" s="577"/>
      <c r="H26" s="577"/>
      <c r="I26" s="577"/>
      <c r="J26" s="569"/>
      <c r="K26" s="577"/>
      <c r="L26" s="496"/>
      <c r="M26" s="582" t="str">
        <f>IF(ISERROR(N26/N25),"--",N26/N25)</f>
        <v>--</v>
      </c>
      <c r="N26" s="789" t="str">
        <f>IF(ISERROR(N21/AM18),"--",N21/AM18)</f>
        <v>--</v>
      </c>
      <c r="O26" s="790"/>
      <c r="P26" s="563" t="s">
        <v>5</v>
      </c>
      <c r="Q26" s="496"/>
      <c r="R26" s="496"/>
      <c r="S26" s="582" t="str">
        <f>IF(ISERROR(T26/T25),"--",T26/T25)</f>
        <v>--</v>
      </c>
      <c r="T26" s="789" t="str">
        <f>IF(ISERROR(T21/AM19),"--",T21/AM19)</f>
        <v>--</v>
      </c>
      <c r="U26" s="790"/>
      <c r="V26" s="563" t="s">
        <v>5</v>
      </c>
      <c r="W26" s="496"/>
      <c r="X26" s="496"/>
      <c r="Y26" s="582" t="str">
        <f>IF(ISERROR(Z26/Z25),"--",Z26/Z25)</f>
        <v>--</v>
      </c>
      <c r="Z26" s="789" t="str">
        <f>IF(ISERROR(Z21/AM20),"--",Z21/AM20)</f>
        <v>--</v>
      </c>
      <c r="AA26" s="790"/>
      <c r="AB26" s="563" t="s">
        <v>5</v>
      </c>
      <c r="AC26" s="205"/>
      <c r="AD26" s="199"/>
      <c r="AE26" s="205"/>
      <c r="AF26" s="205"/>
      <c r="AG26" s="205"/>
      <c r="AH26" s="200"/>
      <c r="AI26" s="418">
        <v>1</v>
      </c>
      <c r="AJ26" s="422" t="s">
        <v>1615</v>
      </c>
      <c r="AK26" s="422" t="s">
        <v>1619</v>
      </c>
      <c r="AL26" s="423"/>
      <c r="AM26" s="423"/>
      <c r="AN26" s="423"/>
      <c r="AO26" s="423"/>
      <c r="AP26" s="205"/>
      <c r="AQ26" s="205"/>
      <c r="AR26" s="205"/>
    </row>
    <row r="27" spans="2:44" ht="19.5" customHeight="1" x14ac:dyDescent="0.2">
      <c r="B27" s="495" t="str">
        <f>"* "&amp;(HLOOKUP('4 Language'!$B$2,'4 Language'!$C$12:$H$307,210))</f>
        <v>* Verhältnis Dosierhub / Schneckendurchmesser</v>
      </c>
      <c r="C27" s="577"/>
      <c r="D27" s="577"/>
      <c r="E27" s="577"/>
      <c r="F27" s="577"/>
      <c r="G27" s="577"/>
      <c r="H27" s="577"/>
      <c r="I27" s="577"/>
      <c r="J27" s="569"/>
      <c r="K27" s="577"/>
      <c r="L27" s="496"/>
      <c r="M27" s="551" t="str">
        <f>IF(OR(N27&lt;1,N27&gt;2.9),"[!]","")</f>
        <v>[!]</v>
      </c>
      <c r="N27" s="789" t="str">
        <f>IF(ISERROR((N26/(PI()/4*POWER(N22/10,2))*10)/N22),"--",(N26/(PI()/4*POWER(N22/10,2))*10)/N22)</f>
        <v>--</v>
      </c>
      <c r="O27" s="790"/>
      <c r="P27" s="563" t="s">
        <v>603</v>
      </c>
      <c r="Q27" s="496"/>
      <c r="R27" s="496"/>
      <c r="S27" s="551" t="str">
        <f>IF(OR(T27&lt;1,T27&gt;2.9),"[!]","")</f>
        <v>[!]</v>
      </c>
      <c r="T27" s="789" t="str">
        <f>IF(ISERROR((T26/(PI()/4*POWER(T22/10,2))*10)/T22),"--",(T26/(PI()/4*POWER(T22/10,2))*10)/T22)</f>
        <v>--</v>
      </c>
      <c r="U27" s="790"/>
      <c r="V27" s="563" t="s">
        <v>603</v>
      </c>
      <c r="W27" s="496"/>
      <c r="X27" s="496"/>
      <c r="Y27" s="551" t="str">
        <f>IF(OR(Z27&lt;1,Z27&gt;2.9),"[!]","")</f>
        <v>[!]</v>
      </c>
      <c r="Z27" s="789" t="str">
        <f>IF(ISERROR((Z26/(PI()/4*POWER(Z22/10,2))*10)/Z22),"--",(Z26/(PI()/4*POWER(Z22/10,2))*10)/Z22)</f>
        <v>--</v>
      </c>
      <c r="AA27" s="790"/>
      <c r="AB27" s="563" t="s">
        <v>603</v>
      </c>
      <c r="AC27" s="205"/>
      <c r="AD27" s="199"/>
      <c r="AE27" s="205"/>
      <c r="AF27" s="205"/>
      <c r="AG27" s="205"/>
      <c r="AH27" s="206" t="s">
        <v>1464</v>
      </c>
      <c r="AI27" s="418">
        <v>1</v>
      </c>
      <c r="AJ27" s="422" t="s">
        <v>1616</v>
      </c>
      <c r="AK27" s="422" t="s">
        <v>1620</v>
      </c>
      <c r="AL27" s="423"/>
      <c r="AM27" s="423"/>
      <c r="AN27" s="423"/>
      <c r="AO27" s="423"/>
      <c r="AP27" s="205"/>
      <c r="AQ27" s="205"/>
      <c r="AR27" s="205"/>
    </row>
    <row r="28" spans="2:44" ht="19.5" customHeight="1" x14ac:dyDescent="0.2">
      <c r="B28" s="495" t="str">
        <f>"* "&amp;(HLOOKUP('4 Language'!$B$2,'4 Language'!$C$12:$H$307,51))</f>
        <v>* Schneckendrehzahl</v>
      </c>
      <c r="C28" s="577"/>
      <c r="D28" s="577"/>
      <c r="E28" s="577"/>
      <c r="F28" s="577"/>
      <c r="G28" s="577"/>
      <c r="H28" s="577"/>
      <c r="I28" s="577"/>
      <c r="J28" s="569"/>
      <c r="K28" s="577"/>
      <c r="L28" s="808"/>
      <c r="M28" s="808"/>
      <c r="N28" s="807"/>
      <c r="O28" s="785"/>
      <c r="P28" s="563" t="s">
        <v>1701</v>
      </c>
      <c r="Q28" s="496"/>
      <c r="R28" s="808"/>
      <c r="S28" s="808"/>
      <c r="T28" s="807"/>
      <c r="U28" s="785"/>
      <c r="V28" s="563" t="s">
        <v>1701</v>
      </c>
      <c r="W28" s="496"/>
      <c r="X28" s="808"/>
      <c r="Y28" s="808"/>
      <c r="Z28" s="807"/>
      <c r="AA28" s="785"/>
      <c r="AB28" s="563" t="s">
        <v>1701</v>
      </c>
      <c r="AC28" s="205"/>
      <c r="AD28" s="199"/>
      <c r="AE28" s="205"/>
      <c r="AF28" s="205"/>
      <c r="AG28" s="205"/>
      <c r="AH28" s="200"/>
      <c r="AI28" s="418">
        <v>1</v>
      </c>
      <c r="AJ28" s="422" t="s">
        <v>1617</v>
      </c>
      <c r="AK28" s="422" t="s">
        <v>1621</v>
      </c>
      <c r="AL28" s="423"/>
      <c r="AM28" s="423"/>
      <c r="AN28" s="423"/>
      <c r="AO28" s="423"/>
      <c r="AP28" s="205"/>
      <c r="AQ28" s="205"/>
      <c r="AR28" s="205"/>
    </row>
    <row r="29" spans="2:44" ht="19.5" customHeight="1" x14ac:dyDescent="0.2">
      <c r="B29" s="495" t="str">
        <f>"* "&amp;(HLOOKUP('4 Language'!$B$2,'4 Language'!$C$12:$H$307,53))</f>
        <v>* Dosiergeschwindigkeit</v>
      </c>
      <c r="C29" s="577"/>
      <c r="D29" s="577"/>
      <c r="E29" s="577"/>
      <c r="F29" s="577"/>
      <c r="G29" s="577"/>
      <c r="H29" s="577"/>
      <c r="I29" s="577"/>
      <c r="J29" s="569"/>
      <c r="K29" s="577"/>
      <c r="L29" s="496"/>
      <c r="M29" s="582" t="str">
        <f>IF(ISERROR(N28/L28),"--",N28/L28)</f>
        <v>--</v>
      </c>
      <c r="N29" s="787">
        <f>IF(ISERROR((N28*PI())*N22*0.00001666),"--",(N28*PI())*N22*0.00001666)</f>
        <v>0</v>
      </c>
      <c r="O29" s="788"/>
      <c r="P29" s="563" t="s">
        <v>301</v>
      </c>
      <c r="Q29" s="496"/>
      <c r="R29" s="496"/>
      <c r="S29" s="582" t="str">
        <f>IF(ISERROR(T28/R28),"--",T28/R28)</f>
        <v>--</v>
      </c>
      <c r="T29" s="787">
        <f>IF(ISERROR((T28*PI())*T22*0.00001666),"--",(T28*PI())*T22*0.00001666)</f>
        <v>0</v>
      </c>
      <c r="U29" s="788"/>
      <c r="V29" s="563" t="s">
        <v>301</v>
      </c>
      <c r="W29" s="496"/>
      <c r="X29" s="496"/>
      <c r="Y29" s="582" t="str">
        <f>IF(ISERROR(Z28/X28),"--",Z28/X28)</f>
        <v>--</v>
      </c>
      <c r="Z29" s="787">
        <f>IF(ISERROR((Z28*PI())*Z22*0.00001666),"--",(Z28*PI())*Z22*0.00001666)</f>
        <v>0</v>
      </c>
      <c r="AA29" s="788"/>
      <c r="AB29" s="563" t="s">
        <v>301</v>
      </c>
      <c r="AC29" s="205"/>
      <c r="AD29" s="199"/>
      <c r="AE29" s="205"/>
      <c r="AF29" s="205"/>
      <c r="AG29" s="205"/>
      <c r="AH29" s="200"/>
      <c r="AI29" s="418">
        <f>1</f>
        <v>1</v>
      </c>
      <c r="AJ29" s="422" t="s">
        <v>1618</v>
      </c>
      <c r="AK29" s="422" t="s">
        <v>1622</v>
      </c>
      <c r="AL29" s="423"/>
      <c r="AM29" s="423"/>
      <c r="AN29" s="423"/>
      <c r="AO29" s="423"/>
      <c r="AP29" s="205"/>
      <c r="AQ29" s="205"/>
      <c r="AR29" s="205"/>
    </row>
    <row r="30" spans="2:44" ht="19.5" customHeight="1" x14ac:dyDescent="0.2">
      <c r="B30" s="495" t="str">
        <f>"* "&amp;(HLOOKUP('4 Language'!$B$2,'4 Language'!$C$12:$H$307,32))</f>
        <v>* Dosierzeit (berechnet)</v>
      </c>
      <c r="C30" s="577"/>
      <c r="D30" s="577"/>
      <c r="E30" s="577"/>
      <c r="F30" s="577"/>
      <c r="G30" s="577"/>
      <c r="H30" s="577"/>
      <c r="I30" s="577"/>
      <c r="J30" s="569"/>
      <c r="K30" s="577"/>
      <c r="L30" s="496"/>
      <c r="M30" s="551" t="str">
        <f>IF(N30&gt;N53,"[!]","")</f>
        <v>[!]</v>
      </c>
      <c r="N30" s="789" t="str">
        <f>IF(ISERROR(N26/(N24*N29/0.6)),"--",N26/(N24*N29/0.6))</f>
        <v>--</v>
      </c>
      <c r="O30" s="790"/>
      <c r="P30" s="563" t="s">
        <v>7</v>
      </c>
      <c r="Q30" s="496"/>
      <c r="R30" s="496"/>
      <c r="S30" s="551" t="str">
        <f>IF(T30&gt;N53,"[!]","")</f>
        <v>[!]</v>
      </c>
      <c r="T30" s="789" t="str">
        <f>IF(ISERROR(T26/(T24*T29/0.6)),"--",T26/(T24*T29/0.6))</f>
        <v>--</v>
      </c>
      <c r="U30" s="790"/>
      <c r="V30" s="563" t="s">
        <v>7</v>
      </c>
      <c r="W30" s="496"/>
      <c r="X30" s="496"/>
      <c r="Y30" s="551" t="str">
        <f>IF(Z30&gt;N53,"[!]","")</f>
        <v>[!]</v>
      </c>
      <c r="Z30" s="789" t="str">
        <f>IF(ISERROR(Z26/(Z24*Z29/0.6)),"--",Z26/(Z24*Z29/0.6))</f>
        <v>--</v>
      </c>
      <c r="AA30" s="790"/>
      <c r="AB30" s="563" t="s">
        <v>7</v>
      </c>
      <c r="AC30" s="205"/>
      <c r="AD30" s="199"/>
      <c r="AE30" s="205"/>
      <c r="AF30" s="205"/>
      <c r="AG30" s="205"/>
      <c r="AH30" s="200"/>
      <c r="AI30" s="418">
        <v>1</v>
      </c>
      <c r="AJ30" s="422" t="s">
        <v>1637</v>
      </c>
      <c r="AK30" s="422" t="s">
        <v>1638</v>
      </c>
      <c r="AL30" s="423"/>
      <c r="AM30" s="423"/>
      <c r="AN30" s="423"/>
      <c r="AO30" s="423"/>
      <c r="AP30" s="205"/>
      <c r="AQ30" s="205"/>
      <c r="AR30" s="205"/>
    </row>
    <row r="31" spans="2:44" ht="19.5" customHeight="1" x14ac:dyDescent="0.2">
      <c r="B31" s="495" t="str">
        <f>"* "&amp;(HLOOKUP('4 Language'!$B$2,'4 Language'!$C$12:$H$307,34))</f>
        <v>* Verweilzeit (Näherungswert)</v>
      </c>
      <c r="C31" s="577"/>
      <c r="D31" s="577"/>
      <c r="E31" s="577"/>
      <c r="F31" s="577"/>
      <c r="G31" s="577"/>
      <c r="H31" s="577"/>
      <c r="I31" s="577"/>
      <c r="J31" s="569"/>
      <c r="K31" s="577"/>
      <c r="L31" s="583"/>
      <c r="M31" s="583"/>
      <c r="N31" s="789" t="str">
        <f>IF(ISERROR($K$13*((N26+((POWER(N22,3)/1000)*5*PI()*0.33333))/N26)/60),"--",$K$13*((N26+((POWER(N22,3)/1000)*5*PI()*0.33333))/N26)/60)</f>
        <v>--</v>
      </c>
      <c r="O31" s="790"/>
      <c r="P31" s="563" t="s">
        <v>299</v>
      </c>
      <c r="Q31" s="496"/>
      <c r="R31" s="583"/>
      <c r="S31" s="583"/>
      <c r="T31" s="789" t="str">
        <f>IF(ISERROR($K$13*((T26+((POWER(T22,3)/1000)*5*PI()*0.33333))/T26)/60),"--",$K$13*((T26+((POWER(T22,3)/1000)*5*PI()*0.33333))/T26)/60)</f>
        <v>--</v>
      </c>
      <c r="U31" s="790"/>
      <c r="V31" s="563" t="s">
        <v>299</v>
      </c>
      <c r="W31" s="496"/>
      <c r="X31" s="583"/>
      <c r="Y31" s="583"/>
      <c r="Z31" s="789" t="str">
        <f>IF(ISERROR($K$13*((Z26+((POWER(Z22,3)/1000)*5*PI()*0.33333))/Z26)/60),"--",$K$13*((Z26+((POWER(Z22,3)/1000)*5*PI()*0.33333))/Z26)/60)</f>
        <v>--</v>
      </c>
      <c r="AA31" s="790"/>
      <c r="AB31" s="563" t="s">
        <v>299</v>
      </c>
      <c r="AC31" s="205"/>
      <c r="AD31" s="199"/>
      <c r="AE31" s="205"/>
      <c r="AF31" s="205"/>
      <c r="AG31" s="205"/>
      <c r="AH31" s="200"/>
      <c r="AI31" s="418">
        <v>1</v>
      </c>
      <c r="AJ31" s="703" t="s">
        <v>2772</v>
      </c>
      <c r="AK31" s="422" t="s">
        <v>2769</v>
      </c>
      <c r="AL31" s="423"/>
      <c r="AM31" s="423"/>
      <c r="AN31" s="423"/>
      <c r="AO31" s="423"/>
      <c r="AP31" s="205"/>
      <c r="AQ31" s="205"/>
      <c r="AR31" s="205"/>
    </row>
    <row r="32" spans="2:44" ht="19.5" customHeight="1" x14ac:dyDescent="0.2">
      <c r="B32" s="495" t="str">
        <f>"* "&amp;(HLOOKUP('4 Language'!$B$2,'4 Language'!$C$12:$H$307,50))</f>
        <v>* Staudruck (spezifisch)</v>
      </c>
      <c r="C32" s="577"/>
      <c r="D32" s="577"/>
      <c r="E32" s="577"/>
      <c r="F32" s="577"/>
      <c r="G32" s="577"/>
      <c r="H32" s="577"/>
      <c r="I32" s="577"/>
      <c r="J32" s="569"/>
      <c r="K32" s="577"/>
      <c r="L32" s="583"/>
      <c r="M32" s="583"/>
      <c r="N32" s="784"/>
      <c r="O32" s="785"/>
      <c r="P32" s="563" t="s">
        <v>300</v>
      </c>
      <c r="Q32" s="496"/>
      <c r="R32" s="583"/>
      <c r="S32" s="583"/>
      <c r="T32" s="784"/>
      <c r="U32" s="785"/>
      <c r="V32" s="563" t="s">
        <v>300</v>
      </c>
      <c r="W32" s="496"/>
      <c r="X32" s="583"/>
      <c r="Y32" s="583"/>
      <c r="Z32" s="784"/>
      <c r="AA32" s="785"/>
      <c r="AB32" s="563" t="s">
        <v>300</v>
      </c>
      <c r="AC32" s="205"/>
      <c r="AD32" s="199"/>
      <c r="AE32" s="205"/>
      <c r="AF32" s="205"/>
      <c r="AG32" s="205"/>
      <c r="AH32" s="200"/>
      <c r="AI32" s="418">
        <v>1</v>
      </c>
      <c r="AJ32" s="704" t="s">
        <v>2773</v>
      </c>
      <c r="AK32" s="422" t="s">
        <v>2770</v>
      </c>
      <c r="AL32" s="423"/>
      <c r="AM32" s="423"/>
      <c r="AN32" s="423"/>
      <c r="AO32" s="423"/>
      <c r="AP32" s="205"/>
      <c r="AQ32" s="205"/>
      <c r="AR32" s="205"/>
    </row>
    <row r="33" spans="2:48" ht="19.5" customHeight="1" x14ac:dyDescent="0.2">
      <c r="B33" s="495" t="str">
        <f>"* "&amp;(HLOOKUP('4 Language'!$B$2,'4 Language'!$C$12:$H$307,31))</f>
        <v>* Durchmesser Maschinendüse</v>
      </c>
      <c r="C33" s="577"/>
      <c r="D33" s="577"/>
      <c r="E33" s="577"/>
      <c r="F33" s="577"/>
      <c r="G33" s="577"/>
      <c r="H33" s="577"/>
      <c r="I33" s="577"/>
      <c r="J33" s="569"/>
      <c r="K33" s="577"/>
      <c r="L33" s="583"/>
      <c r="M33" s="583"/>
      <c r="N33" s="784"/>
      <c r="O33" s="785"/>
      <c r="P33" s="563" t="s">
        <v>292</v>
      </c>
      <c r="Q33" s="496"/>
      <c r="R33" s="583"/>
      <c r="S33" s="583"/>
      <c r="T33" s="784"/>
      <c r="U33" s="785"/>
      <c r="V33" s="563" t="s">
        <v>292</v>
      </c>
      <c r="W33" s="496"/>
      <c r="X33" s="583"/>
      <c r="Y33" s="583"/>
      <c r="Z33" s="784"/>
      <c r="AA33" s="785"/>
      <c r="AB33" s="563" t="s">
        <v>292</v>
      </c>
      <c r="AC33" s="205"/>
      <c r="AD33" s="199"/>
      <c r="AE33" s="205"/>
      <c r="AF33" s="205"/>
      <c r="AG33" s="205"/>
      <c r="AH33" s="200"/>
      <c r="AI33" s="418">
        <v>1</v>
      </c>
      <c r="AJ33" s="704" t="s">
        <v>2774</v>
      </c>
      <c r="AK33" s="422" t="s">
        <v>2771</v>
      </c>
      <c r="AL33" s="423"/>
      <c r="AM33" s="423"/>
      <c r="AN33" s="423"/>
      <c r="AO33" s="423"/>
      <c r="AP33" s="205"/>
      <c r="AQ33" s="205"/>
      <c r="AR33" s="205"/>
    </row>
    <row r="34" spans="2:48" ht="9" customHeight="1" x14ac:dyDescent="0.2">
      <c r="B34" s="462"/>
      <c r="C34" s="462"/>
      <c r="D34" s="462"/>
      <c r="E34" s="462"/>
      <c r="F34" s="462"/>
      <c r="G34" s="462"/>
      <c r="H34" s="462"/>
      <c r="I34" s="462"/>
      <c r="J34" s="462"/>
      <c r="K34" s="462"/>
      <c r="L34" s="462"/>
      <c r="M34" s="462"/>
      <c r="N34" s="462"/>
      <c r="O34" s="462"/>
      <c r="P34" s="462"/>
      <c r="Q34" s="462"/>
      <c r="R34" s="462"/>
      <c r="S34" s="462"/>
      <c r="T34" s="462"/>
      <c r="U34" s="462"/>
      <c r="V34" s="462"/>
      <c r="W34" s="462"/>
      <c r="X34" s="462"/>
      <c r="Y34" s="462"/>
      <c r="Z34" s="462"/>
      <c r="AA34" s="462"/>
      <c r="AB34" s="462"/>
      <c r="AC34" s="205"/>
      <c r="AD34" s="199"/>
      <c r="AE34" s="205"/>
      <c r="AF34" s="205"/>
      <c r="AG34" s="205"/>
      <c r="AH34" s="200"/>
      <c r="AI34" s="205"/>
      <c r="AJ34" s="205"/>
      <c r="AK34" s="205"/>
      <c r="AL34" s="205"/>
      <c r="AM34" s="205"/>
      <c r="AN34" s="205"/>
      <c r="AO34" s="205"/>
      <c r="AP34" s="205"/>
      <c r="AQ34" s="205"/>
      <c r="AR34" s="205"/>
    </row>
    <row r="35" spans="2:48" ht="19.5" customHeight="1" x14ac:dyDescent="0.2">
      <c r="B35" s="534" t="str">
        <f>"* "&amp;(HLOOKUP('4 Language'!$B$2,'4 Language'!$C$12:$H$307,35))</f>
        <v>* Einspritzzeit (siehe "Prozessüberwachung")</v>
      </c>
      <c r="C35" s="565"/>
      <c r="D35" s="565"/>
      <c r="E35" s="565"/>
      <c r="F35" s="565"/>
      <c r="G35" s="565"/>
      <c r="H35" s="565"/>
      <c r="I35" s="565"/>
      <c r="J35" s="566"/>
      <c r="K35" s="565"/>
      <c r="L35" s="786"/>
      <c r="M35" s="786"/>
      <c r="N35" s="567" t="s">
        <v>208</v>
      </c>
      <c r="O35" s="669"/>
      <c r="P35" s="568" t="s">
        <v>7</v>
      </c>
      <c r="Q35" s="535"/>
      <c r="R35" s="786"/>
      <c r="S35" s="786"/>
      <c r="T35" s="567" t="s">
        <v>208</v>
      </c>
      <c r="U35" s="669"/>
      <c r="V35" s="568" t="s">
        <v>7</v>
      </c>
      <c r="W35" s="535"/>
      <c r="X35" s="786"/>
      <c r="Y35" s="786"/>
      <c r="Z35" s="567" t="s">
        <v>208</v>
      </c>
      <c r="AA35" s="669"/>
      <c r="AB35" s="568" t="s">
        <v>7</v>
      </c>
      <c r="AD35" s="199"/>
      <c r="AE35" s="205"/>
      <c r="AH35" s="185"/>
      <c r="AI35" s="418">
        <v>1</v>
      </c>
      <c r="AJ35" s="422" t="s">
        <v>2795</v>
      </c>
      <c r="AK35" s="422" t="s">
        <v>2789</v>
      </c>
      <c r="AL35" s="423"/>
      <c r="AM35" s="423"/>
      <c r="AN35" s="423"/>
      <c r="AO35" s="423"/>
    </row>
    <row r="36" spans="2:48" ht="19.5" customHeight="1" x14ac:dyDescent="0.2">
      <c r="B36" s="495" t="str">
        <f>HLOOKUP('4 Language'!$B$2,'4 Language'!$C$12:$H$307,68)</f>
        <v>Eingestellter spezifischer Spritzdruck</v>
      </c>
      <c r="C36" s="496"/>
      <c r="D36" s="496"/>
      <c r="E36" s="496"/>
      <c r="F36" s="496"/>
      <c r="G36" s="496"/>
      <c r="H36" s="496"/>
      <c r="I36" s="496"/>
      <c r="J36" s="569"/>
      <c r="K36" s="496"/>
      <c r="L36" s="496"/>
      <c r="M36" s="501"/>
      <c r="N36" s="780"/>
      <c r="O36" s="781"/>
      <c r="P36" s="499" t="s">
        <v>300</v>
      </c>
      <c r="Q36" s="496"/>
      <c r="R36" s="496"/>
      <c r="S36" s="501"/>
      <c r="T36" s="780"/>
      <c r="U36" s="781"/>
      <c r="V36" s="499" t="s">
        <v>300</v>
      </c>
      <c r="W36" s="496"/>
      <c r="X36" s="496"/>
      <c r="Y36" s="501"/>
      <c r="Z36" s="780"/>
      <c r="AA36" s="781"/>
      <c r="AB36" s="499" t="s">
        <v>300</v>
      </c>
      <c r="AD36" s="199"/>
      <c r="AE36" s="205"/>
      <c r="AH36" s="185"/>
      <c r="AI36" s="418">
        <v>1</v>
      </c>
      <c r="AJ36" s="422" t="s">
        <v>2796</v>
      </c>
      <c r="AK36" s="422" t="s">
        <v>2790</v>
      </c>
      <c r="AL36" s="423"/>
      <c r="AM36" s="423"/>
      <c r="AN36" s="423"/>
      <c r="AO36" s="423"/>
    </row>
    <row r="37" spans="2:48" ht="19.5" customHeight="1" x14ac:dyDescent="0.2">
      <c r="B37" s="495" t="str">
        <f>HLOOKUP('4 Language'!$B$2,'4 Language'!$C$12:$H$307,69)</f>
        <v>Abgelesener spezifischer Spritzdruck</v>
      </c>
      <c r="C37" s="496"/>
      <c r="D37" s="496"/>
      <c r="E37" s="496"/>
      <c r="F37" s="496"/>
      <c r="G37" s="496"/>
      <c r="H37" s="496"/>
      <c r="I37" s="496"/>
      <c r="J37" s="569"/>
      <c r="K37" s="496"/>
      <c r="L37" s="496"/>
      <c r="M37" s="501"/>
      <c r="N37" s="780"/>
      <c r="O37" s="781"/>
      <c r="P37" s="499" t="s">
        <v>300</v>
      </c>
      <c r="Q37" s="496"/>
      <c r="R37" s="496"/>
      <c r="S37" s="501"/>
      <c r="T37" s="780"/>
      <c r="U37" s="781"/>
      <c r="V37" s="499" t="s">
        <v>300</v>
      </c>
      <c r="W37" s="496"/>
      <c r="X37" s="496"/>
      <c r="Y37" s="501"/>
      <c r="Z37" s="780"/>
      <c r="AA37" s="781"/>
      <c r="AB37" s="499" t="s">
        <v>300</v>
      </c>
      <c r="AD37" s="199"/>
      <c r="AE37" s="205"/>
      <c r="AH37" s="185"/>
      <c r="AI37" s="418">
        <v>1</v>
      </c>
      <c r="AJ37" s="422" t="s">
        <v>2797</v>
      </c>
      <c r="AK37" s="422" t="s">
        <v>2791</v>
      </c>
      <c r="AL37" s="423"/>
      <c r="AM37" s="423"/>
      <c r="AN37" s="423"/>
      <c r="AO37" s="423"/>
    </row>
    <row r="38" spans="2:48" ht="19.5" customHeight="1" x14ac:dyDescent="0.2">
      <c r="B38" s="495" t="str">
        <f>HLOOKUP('4 Language'!$B$2,'4 Language'!$C$12:$H$307,70)</f>
        <v>Maximal möglicher spezifischer Spritzdruck</v>
      </c>
      <c r="C38" s="496"/>
      <c r="D38" s="496"/>
      <c r="E38" s="496"/>
      <c r="F38" s="496"/>
      <c r="G38" s="496"/>
      <c r="H38" s="496"/>
      <c r="I38" s="496"/>
      <c r="J38" s="569"/>
      <c r="K38" s="496"/>
      <c r="L38" s="496"/>
      <c r="M38" s="501"/>
      <c r="N38" s="780"/>
      <c r="O38" s="781"/>
      <c r="P38" s="499" t="s">
        <v>300</v>
      </c>
      <c r="Q38" s="496"/>
      <c r="R38" s="496"/>
      <c r="S38" s="501"/>
      <c r="T38" s="780"/>
      <c r="U38" s="781"/>
      <c r="V38" s="499" t="s">
        <v>300</v>
      </c>
      <c r="W38" s="496"/>
      <c r="X38" s="496"/>
      <c r="Y38" s="501"/>
      <c r="Z38" s="780"/>
      <c r="AA38" s="781"/>
      <c r="AB38" s="499" t="s">
        <v>300</v>
      </c>
      <c r="AD38" s="199"/>
      <c r="AE38" s="205"/>
      <c r="AH38" s="185"/>
    </row>
    <row r="39" spans="2:48" ht="19.5" customHeight="1" x14ac:dyDescent="0.2">
      <c r="B39" s="495" t="str">
        <f>HLOOKUP('4 Language'!$B$2,'4 Language'!$C$12:$H$307,47)</f>
        <v xml:space="preserve">Umschaltpunkt </v>
      </c>
      <c r="C39" s="496"/>
      <c r="D39" s="496"/>
      <c r="E39" s="496"/>
      <c r="F39" s="496"/>
      <c r="G39" s="496"/>
      <c r="H39" s="496">
        <f>'3 Selection fields'!B15</f>
        <v>5</v>
      </c>
      <c r="I39" s="496"/>
      <c r="J39" s="496"/>
      <c r="K39" s="496"/>
      <c r="L39" s="496"/>
      <c r="M39" s="570"/>
      <c r="N39" s="784"/>
      <c r="O39" s="785"/>
      <c r="P39" s="498" t="str">
        <f>IF(H39=3," bar",IF(H39=4," cm³",IF(H39=5," mm"," --")))</f>
        <v xml:space="preserve"> mm</v>
      </c>
      <c r="Q39" s="496"/>
      <c r="R39" s="496"/>
      <c r="S39" s="570"/>
      <c r="T39" s="784"/>
      <c r="U39" s="785"/>
      <c r="V39" s="498" t="str">
        <f>IF(H39=3," bar",IF(H39=4," cm³",IF(H39=5," mm"," --")))</f>
        <v xml:space="preserve"> mm</v>
      </c>
      <c r="W39" s="496"/>
      <c r="X39" s="496"/>
      <c r="Y39" s="570"/>
      <c r="Z39" s="784"/>
      <c r="AA39" s="785"/>
      <c r="AB39" s="498" t="str">
        <f>IF(H39=3," bar",IF(H39=4," cm³",IF(H39=5," mm"," --")))</f>
        <v xml:space="preserve"> mm</v>
      </c>
      <c r="AD39" s="199"/>
      <c r="AE39" s="205"/>
      <c r="AH39" s="185"/>
    </row>
    <row r="40" spans="2:48" ht="19.149999999999999" customHeight="1" x14ac:dyDescent="0.2">
      <c r="B40" s="495" t="str">
        <f>HLOOKUP('4 Language'!$B$2,'4 Language'!$C$12:$H$307,49)</f>
        <v>Massepolster (siehe "Prozessüberwachung")</v>
      </c>
      <c r="C40" s="496"/>
      <c r="D40" s="496"/>
      <c r="E40" s="496"/>
      <c r="F40" s="496"/>
      <c r="G40" s="496"/>
      <c r="H40" s="496"/>
      <c r="I40" s="496"/>
      <c r="J40" s="496"/>
      <c r="K40" s="496"/>
      <c r="L40" s="818"/>
      <c r="M40" s="819"/>
      <c r="N40" s="814"/>
      <c r="O40" s="815"/>
      <c r="P40" s="498" t="str">
        <f>IF(H39=3," bar",IF(H39=4," cm³",IF(H39=5," mm"," --")))</f>
        <v xml:space="preserve"> mm</v>
      </c>
      <c r="Q40" s="496"/>
      <c r="R40" s="818"/>
      <c r="S40" s="819"/>
      <c r="T40" s="814"/>
      <c r="U40" s="815"/>
      <c r="V40" s="498" t="str">
        <f>IF(H39=3," bar",IF(H39=4," cm³",IF(H39=5," mm"," --")))</f>
        <v xml:space="preserve"> mm</v>
      </c>
      <c r="W40" s="496"/>
      <c r="X40" s="818"/>
      <c r="Y40" s="819"/>
      <c r="Z40" s="814"/>
      <c r="AA40" s="815"/>
      <c r="AB40" s="498" t="str">
        <f>IF(H39=3," bar",IF(H39=4," cm³",IF(H39=5," mm"," --")))</f>
        <v xml:space="preserve"> mm</v>
      </c>
      <c r="AC40" s="199"/>
      <c r="AD40" s="199"/>
      <c r="AF40" s="199"/>
      <c r="AH40" s="185"/>
      <c r="AI40" s="422" t="s">
        <v>1559</v>
      </c>
      <c r="AJ40" s="422" t="s">
        <v>1564</v>
      </c>
      <c r="AK40" s="424" t="b">
        <v>0</v>
      </c>
      <c r="AL40" s="424" t="b">
        <v>0</v>
      </c>
    </row>
    <row r="41" spans="2:48" ht="20.65" customHeight="1" x14ac:dyDescent="0.2">
      <c r="B41" s="505" t="str">
        <f>HLOOKUP('4 Language'!$B$2,'4 Language'!$C$12:$H$307,73)</f>
        <v>Wurde Füllstudie erstellt &amp; dokumentiert?</v>
      </c>
      <c r="C41" s="211"/>
      <c r="D41" s="211"/>
      <c r="E41" s="211"/>
      <c r="F41" s="211"/>
      <c r="G41" s="211"/>
      <c r="H41" s="211"/>
      <c r="I41" s="211"/>
      <c r="J41" s="211"/>
      <c r="K41" s="211"/>
      <c r="L41" s="555" t="str">
        <f>HLOOKUP('4 Language'!$B$2,'4 Language'!$C$12:$H$307,9)</f>
        <v>ja</v>
      </c>
      <c r="M41" s="505"/>
      <c r="N41" s="555" t="str">
        <f>HLOOKUP('4 Language'!$B$2,'4 Language'!$C$12:$H$307,10)</f>
        <v>nein</v>
      </c>
      <c r="O41" s="491"/>
      <c r="P41" s="211"/>
      <c r="Q41" s="211"/>
      <c r="R41" s="555" t="str">
        <f>HLOOKUP('4 Language'!$B$2,'4 Language'!$C$12:$H$307,9)</f>
        <v>ja</v>
      </c>
      <c r="S41" s="505"/>
      <c r="T41" s="555" t="str">
        <f>HLOOKUP('4 Language'!$B$2,'4 Language'!$C$12:$H$307,10)</f>
        <v>nein</v>
      </c>
      <c r="U41" s="491"/>
      <c r="V41" s="211"/>
      <c r="W41" s="211"/>
      <c r="X41" s="555" t="str">
        <f>HLOOKUP('4 Language'!$B$2,'4 Language'!$C$12:$H$307,9)</f>
        <v>ja</v>
      </c>
      <c r="Y41" s="505"/>
      <c r="Z41" s="555" t="str">
        <f>HLOOKUP('4 Language'!$B$2,'4 Language'!$C$12:$H$307,10)</f>
        <v>nein</v>
      </c>
      <c r="AA41" s="491"/>
      <c r="AB41" s="211"/>
      <c r="AD41" s="199"/>
      <c r="AE41" s="205"/>
      <c r="AH41" s="185"/>
      <c r="AI41" s="422" t="s">
        <v>1560</v>
      </c>
      <c r="AJ41" s="422" t="s">
        <v>1563</v>
      </c>
      <c r="AK41" s="424" t="b">
        <f>FALSE</f>
        <v>0</v>
      </c>
      <c r="AL41" s="424" t="b">
        <f>FALSE</f>
        <v>0</v>
      </c>
    </row>
    <row r="42" spans="2:48" ht="19.5" customHeight="1" x14ac:dyDescent="0.2">
      <c r="B42" s="564"/>
      <c r="C42" s="207"/>
      <c r="D42" s="207"/>
      <c r="E42" s="207"/>
      <c r="F42" s="207"/>
      <c r="G42" s="207"/>
      <c r="H42" s="207"/>
      <c r="I42" s="207"/>
      <c r="J42" s="207"/>
      <c r="K42" s="207"/>
      <c r="L42" s="443" t="str">
        <f>HLOOKUP('4 Language'!$B$2,'4 Language'!$C$12:$H$307,266)</f>
        <v>Alle Angaben von Drücken sind spezifisch einzutragen - bitte keine hydraulischen Werte.</v>
      </c>
      <c r="M42" s="207"/>
      <c r="N42" s="207"/>
      <c r="O42" s="207"/>
      <c r="P42" s="207"/>
      <c r="Q42" s="207"/>
      <c r="R42" s="207"/>
      <c r="S42" s="207"/>
      <c r="T42" s="207"/>
      <c r="U42" s="207"/>
      <c r="V42" s="207"/>
      <c r="W42" s="207"/>
      <c r="X42" s="207"/>
      <c r="Y42" s="207"/>
      <c r="Z42" s="207"/>
      <c r="AA42" s="207"/>
      <c r="AB42" s="207"/>
      <c r="AC42" s="199"/>
      <c r="AD42" s="199"/>
      <c r="AF42" s="199"/>
      <c r="AH42" s="185"/>
      <c r="AI42" s="422" t="s">
        <v>1561</v>
      </c>
      <c r="AJ42" s="422" t="s">
        <v>1562</v>
      </c>
      <c r="AK42" s="424" t="b">
        <f>FALSE</f>
        <v>0</v>
      </c>
      <c r="AL42" s="424" t="b">
        <v>1</v>
      </c>
      <c r="AP42" s="205"/>
      <c r="AQ42" s="205"/>
      <c r="AR42" s="205"/>
      <c r="AS42" s="205"/>
      <c r="AT42" s="205"/>
      <c r="AU42" s="205"/>
      <c r="AV42" s="205"/>
    </row>
    <row r="43" spans="2:48" ht="19.5" customHeight="1" x14ac:dyDescent="0.2">
      <c r="B43" s="505" t="str">
        <f>"* "&amp;HLOOKUP('4 Language'!$B$2,'4 Language'!$C$12:$H$307,248)</f>
        <v>* Nachdruckprofil            Stufe</v>
      </c>
      <c r="C43" s="211"/>
      <c r="D43" s="211"/>
      <c r="E43" s="557"/>
      <c r="F43" s="557"/>
      <c r="G43" s="558">
        <v>1</v>
      </c>
      <c r="H43" s="505"/>
      <c r="I43" s="211"/>
      <c r="J43" s="492" t="str">
        <f>HLOOKUP('4 Language'!$B$2,'4 Language'!$C$12:$H$307,249)</f>
        <v>Druck I Zeit</v>
      </c>
      <c r="K43" s="559" t="s">
        <v>1485</v>
      </c>
      <c r="L43" s="820"/>
      <c r="M43" s="821"/>
      <c r="N43" s="822"/>
      <c r="O43" s="823"/>
      <c r="P43" s="494" t="s">
        <v>7</v>
      </c>
      <c r="Q43" s="550" t="s">
        <v>1485</v>
      </c>
      <c r="R43" s="820"/>
      <c r="S43" s="821"/>
      <c r="T43" s="822"/>
      <c r="U43" s="823"/>
      <c r="V43" s="494" t="s">
        <v>7</v>
      </c>
      <c r="W43" s="559" t="s">
        <v>1485</v>
      </c>
      <c r="X43" s="820"/>
      <c r="Y43" s="821"/>
      <c r="Z43" s="822"/>
      <c r="AA43" s="823"/>
      <c r="AB43" s="494" t="s">
        <v>7</v>
      </c>
      <c r="AD43" s="199"/>
      <c r="AE43" s="205"/>
      <c r="AH43" s="185"/>
      <c r="AI43" s="422" t="s">
        <v>1565</v>
      </c>
      <c r="AJ43" s="422" t="s">
        <v>1566</v>
      </c>
      <c r="AK43" s="424" t="b">
        <v>0</v>
      </c>
      <c r="AL43" s="424" t="b">
        <f>FALSE</f>
        <v>0</v>
      </c>
    </row>
    <row r="44" spans="2:48" ht="19.5" customHeight="1" x14ac:dyDescent="0.2">
      <c r="B44" s="495" t="str">
        <f>"* "&amp;HLOOKUP('4 Language'!$B$2,'4 Language'!$C$12:$H$307,248)</f>
        <v>* Nachdruckprofil            Stufe</v>
      </c>
      <c r="C44" s="496"/>
      <c r="D44" s="496"/>
      <c r="E44" s="496"/>
      <c r="F44" s="496"/>
      <c r="G44" s="495">
        <v>2</v>
      </c>
      <c r="H44" s="495"/>
      <c r="I44" s="496"/>
      <c r="J44" s="497" t="str">
        <f>HLOOKUP('4 Language'!$B$2,'4 Language'!$C$12:$H$307,249)</f>
        <v>Druck I Zeit</v>
      </c>
      <c r="K44" s="527" t="s">
        <v>1485</v>
      </c>
      <c r="L44" s="816"/>
      <c r="M44" s="817"/>
      <c r="N44" s="801"/>
      <c r="O44" s="802"/>
      <c r="P44" s="499" t="s">
        <v>7</v>
      </c>
      <c r="Q44" s="527" t="s">
        <v>1485</v>
      </c>
      <c r="R44" s="816"/>
      <c r="S44" s="817"/>
      <c r="T44" s="801"/>
      <c r="U44" s="802"/>
      <c r="V44" s="499" t="s">
        <v>7</v>
      </c>
      <c r="W44" s="527" t="s">
        <v>1485</v>
      </c>
      <c r="X44" s="816"/>
      <c r="Y44" s="817"/>
      <c r="Z44" s="801"/>
      <c r="AA44" s="802"/>
      <c r="AB44" s="499" t="s">
        <v>7</v>
      </c>
      <c r="AD44" s="199"/>
      <c r="AE44" s="205"/>
      <c r="AH44" s="185"/>
      <c r="AI44" s="422" t="s">
        <v>1568</v>
      </c>
      <c r="AJ44" s="422" t="s">
        <v>1567</v>
      </c>
      <c r="AK44" s="424" t="b">
        <f>FALSE</f>
        <v>0</v>
      </c>
      <c r="AL44" s="424" t="b">
        <f>FALSE</f>
        <v>0</v>
      </c>
    </row>
    <row r="45" spans="2:48" ht="19.5" customHeight="1" x14ac:dyDescent="0.2">
      <c r="B45" s="495" t="str">
        <f>"* "&amp;HLOOKUP('4 Language'!$B$2,'4 Language'!$C$12:$H$307,248)</f>
        <v>* Nachdruckprofil            Stufe</v>
      </c>
      <c r="C45" s="496"/>
      <c r="D45" s="496"/>
      <c r="E45" s="496"/>
      <c r="F45" s="496"/>
      <c r="G45" s="495">
        <v>3</v>
      </c>
      <c r="H45" s="495"/>
      <c r="I45" s="496"/>
      <c r="J45" s="497" t="str">
        <f>HLOOKUP('4 Language'!$B$2,'4 Language'!$C$12:$H$307,249)</f>
        <v>Druck I Zeit</v>
      </c>
      <c r="K45" s="527" t="s">
        <v>1485</v>
      </c>
      <c r="L45" s="816"/>
      <c r="M45" s="817"/>
      <c r="N45" s="801"/>
      <c r="O45" s="802"/>
      <c r="P45" s="499" t="s">
        <v>7</v>
      </c>
      <c r="Q45" s="527" t="s">
        <v>1485</v>
      </c>
      <c r="R45" s="816"/>
      <c r="S45" s="817"/>
      <c r="T45" s="801"/>
      <c r="U45" s="802"/>
      <c r="V45" s="499" t="s">
        <v>7</v>
      </c>
      <c r="W45" s="527" t="s">
        <v>1485</v>
      </c>
      <c r="X45" s="816"/>
      <c r="Y45" s="817"/>
      <c r="Z45" s="801"/>
      <c r="AA45" s="802"/>
      <c r="AB45" s="499" t="s">
        <v>7</v>
      </c>
      <c r="AD45" s="199"/>
      <c r="AE45" s="205"/>
      <c r="AH45" s="185"/>
      <c r="AI45" s="422" t="s">
        <v>1569</v>
      </c>
      <c r="AJ45" s="422" t="s">
        <v>1570</v>
      </c>
      <c r="AK45" s="424" t="b">
        <v>0</v>
      </c>
      <c r="AL45" s="424" t="b">
        <f>FALSE</f>
        <v>0</v>
      </c>
    </row>
    <row r="46" spans="2:48" ht="19.5" customHeight="1" x14ac:dyDescent="0.2">
      <c r="B46" s="495" t="str">
        <f>"* "&amp;HLOOKUP('4 Language'!$B$2,'4 Language'!$C$12:$H$307,248)</f>
        <v>* Nachdruckprofil            Stufe</v>
      </c>
      <c r="C46" s="496"/>
      <c r="D46" s="496"/>
      <c r="E46" s="496"/>
      <c r="F46" s="496"/>
      <c r="G46" s="495">
        <v>4</v>
      </c>
      <c r="H46" s="495"/>
      <c r="I46" s="496"/>
      <c r="J46" s="497" t="str">
        <f>HLOOKUP('4 Language'!$B$2,'4 Language'!$C$12:$H$307,249)</f>
        <v>Druck I Zeit</v>
      </c>
      <c r="K46" s="527" t="s">
        <v>1485</v>
      </c>
      <c r="L46" s="816"/>
      <c r="M46" s="817"/>
      <c r="N46" s="801"/>
      <c r="O46" s="802"/>
      <c r="P46" s="499" t="s">
        <v>7</v>
      </c>
      <c r="Q46" s="527" t="s">
        <v>1485</v>
      </c>
      <c r="R46" s="816"/>
      <c r="S46" s="817"/>
      <c r="T46" s="801"/>
      <c r="U46" s="802"/>
      <c r="V46" s="499" t="s">
        <v>7</v>
      </c>
      <c r="W46" s="527" t="s">
        <v>1485</v>
      </c>
      <c r="X46" s="816"/>
      <c r="Y46" s="817"/>
      <c r="Z46" s="801"/>
      <c r="AA46" s="802"/>
      <c r="AB46" s="499" t="s">
        <v>7</v>
      </c>
      <c r="AD46" s="199"/>
      <c r="AE46" s="205"/>
      <c r="AH46" s="185"/>
      <c r="AI46" s="422" t="s">
        <v>1572</v>
      </c>
      <c r="AJ46" s="422" t="s">
        <v>1571</v>
      </c>
      <c r="AK46" s="424" t="b">
        <f>FALSE</f>
        <v>0</v>
      </c>
      <c r="AL46" s="424" t="b">
        <f>FALSE</f>
        <v>0</v>
      </c>
    </row>
    <row r="47" spans="2:48" ht="19.5" customHeight="1" x14ac:dyDescent="0.2">
      <c r="B47" s="495" t="str">
        <f>"* "&amp;HLOOKUP('4 Language'!$B$2,'4 Language'!$C$12:$H$307,248)</f>
        <v>* Nachdruckprofil            Stufe</v>
      </c>
      <c r="C47" s="496"/>
      <c r="D47" s="496"/>
      <c r="E47" s="496"/>
      <c r="F47" s="496"/>
      <c r="G47" s="495">
        <v>5</v>
      </c>
      <c r="H47" s="495"/>
      <c r="I47" s="496"/>
      <c r="J47" s="497" t="str">
        <f>HLOOKUP('4 Language'!$B$2,'4 Language'!$C$12:$H$307,249)</f>
        <v>Druck I Zeit</v>
      </c>
      <c r="K47" s="527" t="s">
        <v>1485</v>
      </c>
      <c r="L47" s="816"/>
      <c r="M47" s="817"/>
      <c r="N47" s="801"/>
      <c r="O47" s="802"/>
      <c r="P47" s="499" t="s">
        <v>7</v>
      </c>
      <c r="Q47" s="527" t="s">
        <v>1485</v>
      </c>
      <c r="R47" s="816"/>
      <c r="S47" s="817"/>
      <c r="T47" s="801"/>
      <c r="U47" s="802"/>
      <c r="V47" s="499" t="s">
        <v>7</v>
      </c>
      <c r="W47" s="527" t="s">
        <v>1485</v>
      </c>
      <c r="X47" s="816"/>
      <c r="Y47" s="817"/>
      <c r="Z47" s="801"/>
      <c r="AA47" s="802"/>
      <c r="AB47" s="499" t="s">
        <v>7</v>
      </c>
      <c r="AD47" s="199"/>
      <c r="AE47" s="205"/>
      <c r="AH47" s="185"/>
      <c r="AI47" s="422" t="s">
        <v>1573</v>
      </c>
      <c r="AJ47" s="422" t="s">
        <v>1575</v>
      </c>
      <c r="AK47" s="424" t="b">
        <f>FALSE</f>
        <v>0</v>
      </c>
      <c r="AL47" s="424" t="b">
        <f>FALSE</f>
        <v>0</v>
      </c>
    </row>
    <row r="48" spans="2:48" ht="19.5" customHeight="1" x14ac:dyDescent="0.2">
      <c r="B48" s="495" t="str">
        <f>"* "&amp;(HLOOKUP('4 Language'!$B$2,'4 Language'!$C$12:$H$307,253))</f>
        <v>* Nachdruckzeit gesamt</v>
      </c>
      <c r="C48" s="496"/>
      <c r="D48" s="496"/>
      <c r="E48" s="496"/>
      <c r="F48" s="496"/>
      <c r="G48" s="496"/>
      <c r="H48" s="495"/>
      <c r="I48" s="560"/>
      <c r="J48" s="561" t="str">
        <f>HLOOKUP('4 Language'!$B$2,'4 Language'!$C$12:$H$307,255)</f>
        <v xml:space="preserve"> I Zeit</v>
      </c>
      <c r="K48" s="562"/>
      <c r="L48" s="496"/>
      <c r="M48" s="496"/>
      <c r="N48" s="803">
        <f>SUM(N43:O47)</f>
        <v>0</v>
      </c>
      <c r="O48" s="804"/>
      <c r="P48" s="563" t="s">
        <v>7</v>
      </c>
      <c r="Q48" s="562"/>
      <c r="R48" s="496"/>
      <c r="S48" s="496"/>
      <c r="T48" s="803">
        <f>SUM(T43:U47)</f>
        <v>0</v>
      </c>
      <c r="U48" s="804"/>
      <c r="V48" s="563" t="s">
        <v>7</v>
      </c>
      <c r="W48" s="562"/>
      <c r="X48" s="496"/>
      <c r="Y48" s="496"/>
      <c r="Z48" s="803">
        <f>SUM(Z43:AA47)</f>
        <v>0</v>
      </c>
      <c r="AA48" s="804"/>
      <c r="AB48" s="563" t="s">
        <v>7</v>
      </c>
      <c r="AD48" s="199"/>
      <c r="AE48" s="205"/>
      <c r="AH48" s="185"/>
      <c r="AI48" s="422" t="s">
        <v>1574</v>
      </c>
      <c r="AJ48" s="422" t="s">
        <v>1576</v>
      </c>
      <c r="AK48" s="424" t="b">
        <f>FALSE</f>
        <v>0</v>
      </c>
      <c r="AL48" s="424" t="b">
        <f>FALSE</f>
        <v>0</v>
      </c>
    </row>
    <row r="49" spans="2:38" ht="20.45" customHeight="1" x14ac:dyDescent="0.2">
      <c r="B49" s="505" t="str">
        <f>"* "&amp;(HLOOKUP('4 Language'!$B$2,'4 Language'!$C$12:$H$307,71))</f>
        <v>* Druckfühler im Werkzeug?</v>
      </c>
      <c r="C49" s="554"/>
      <c r="D49" s="554"/>
      <c r="E49" s="554"/>
      <c r="F49" s="554"/>
      <c r="G49" s="554"/>
      <c r="H49" s="554"/>
      <c r="I49" s="554"/>
      <c r="J49" s="554"/>
      <c r="K49" s="554"/>
      <c r="L49" s="555" t="str">
        <f>HLOOKUP('4 Language'!$B$2,'4 Language'!$C$12:$H$307,9)</f>
        <v>ja</v>
      </c>
      <c r="M49" s="505"/>
      <c r="N49" s="555" t="str">
        <f>HLOOKUP('4 Language'!$B$2,'4 Language'!$C$12:$H$307,10)</f>
        <v>nein</v>
      </c>
      <c r="O49" s="491"/>
      <c r="P49" s="211"/>
      <c r="Q49" s="211"/>
      <c r="R49" s="555" t="str">
        <f>HLOOKUP('4 Language'!$B$2,'4 Language'!$C$12:$H$307,9)</f>
        <v>ja</v>
      </c>
      <c r="S49" s="505"/>
      <c r="T49" s="555" t="str">
        <f>HLOOKUP('4 Language'!$B$2,'4 Language'!$C$12:$H$307,10)</f>
        <v>nein</v>
      </c>
      <c r="U49" s="491"/>
      <c r="V49" s="211"/>
      <c r="W49" s="211"/>
      <c r="X49" s="555" t="str">
        <f>HLOOKUP('4 Language'!$B$2,'4 Language'!$C$12:$H$307,9)</f>
        <v>ja</v>
      </c>
      <c r="Y49" s="505"/>
      <c r="Z49" s="555" t="str">
        <f>HLOOKUP('4 Language'!$B$2,'4 Language'!$C$12:$H$307,10)</f>
        <v>nein</v>
      </c>
      <c r="AA49" s="491"/>
      <c r="AB49" s="211"/>
      <c r="AD49" s="199"/>
      <c r="AH49" s="185"/>
      <c r="AI49" s="422" t="s">
        <v>1544</v>
      </c>
      <c r="AJ49" s="422" t="s">
        <v>1543</v>
      </c>
      <c r="AK49" s="424" t="b">
        <f>FALSE</f>
        <v>0</v>
      </c>
      <c r="AL49" s="424" t="b">
        <f>FALSE</f>
        <v>0</v>
      </c>
    </row>
    <row r="50" spans="2:38" ht="20.45" customHeight="1" x14ac:dyDescent="0.2">
      <c r="B50" s="495" t="str">
        <f>"* "&amp;(HLOOKUP('4 Language'!$B$2,'4 Language'!$C$12:$H$307,72))</f>
        <v>* Werden diese zur Regelung genutzt?</v>
      </c>
      <c r="C50" s="556"/>
      <c r="D50" s="556"/>
      <c r="E50" s="556"/>
      <c r="F50" s="556"/>
      <c r="G50" s="556"/>
      <c r="H50" s="556"/>
      <c r="I50" s="556"/>
      <c r="J50" s="556"/>
      <c r="K50" s="556"/>
      <c r="L50" s="502" t="str">
        <f>HLOOKUP('4 Language'!$B$2,'4 Language'!$C$12:$H$307,9)</f>
        <v>ja</v>
      </c>
      <c r="M50" s="495"/>
      <c r="N50" s="502" t="str">
        <f>HLOOKUP('4 Language'!$B$2,'4 Language'!$C$12:$H$307,10)</f>
        <v>nein</v>
      </c>
      <c r="O50" s="500"/>
      <c r="P50" s="496"/>
      <c r="Q50" s="496"/>
      <c r="R50" s="502" t="str">
        <f>HLOOKUP('4 Language'!$B$2,'4 Language'!$C$12:$H$307,9)</f>
        <v>ja</v>
      </c>
      <c r="S50" s="495"/>
      <c r="T50" s="502" t="str">
        <f>HLOOKUP('4 Language'!$B$2,'4 Language'!$C$12:$H$307,10)</f>
        <v>nein</v>
      </c>
      <c r="U50" s="500"/>
      <c r="V50" s="496"/>
      <c r="W50" s="496"/>
      <c r="X50" s="502" t="str">
        <f>HLOOKUP('4 Language'!$B$2,'4 Language'!$C$12:$H$307,9)</f>
        <v>ja</v>
      </c>
      <c r="Y50" s="495"/>
      <c r="Z50" s="502" t="str">
        <f>HLOOKUP('4 Language'!$B$2,'4 Language'!$C$12:$H$307,10)</f>
        <v>nein</v>
      </c>
      <c r="AA50" s="500"/>
      <c r="AB50" s="496"/>
      <c r="AD50" s="199"/>
      <c r="AE50" s="205"/>
      <c r="AH50" s="185"/>
      <c r="AI50" s="422" t="s">
        <v>1548</v>
      </c>
      <c r="AJ50" s="422" t="s">
        <v>1547</v>
      </c>
      <c r="AK50" s="424" t="b">
        <f>FALSE</f>
        <v>0</v>
      </c>
      <c r="AL50" s="424" t="b">
        <f>FALSE</f>
        <v>0</v>
      </c>
    </row>
    <row r="51" spans="2:38" ht="20.45" customHeight="1" x14ac:dyDescent="0.2">
      <c r="B51" s="495" t="str">
        <f>HLOOKUP('4 Language'!$B$2,'4 Language'!$C$12:$H$307,40)</f>
        <v>Nachdruckzeitoptimierung durchgeführt?</v>
      </c>
      <c r="C51" s="496"/>
      <c r="D51" s="496"/>
      <c r="E51" s="496"/>
      <c r="F51" s="496"/>
      <c r="G51" s="496"/>
      <c r="H51" s="496"/>
      <c r="I51" s="496"/>
      <c r="J51" s="496"/>
      <c r="K51" s="496"/>
      <c r="L51" s="502" t="str">
        <f>HLOOKUP('4 Language'!$B$2,'4 Language'!$C$12:$H$307,9)</f>
        <v>ja</v>
      </c>
      <c r="M51" s="495"/>
      <c r="N51" s="502" t="str">
        <f>HLOOKUP('4 Language'!$B$2,'4 Language'!$C$12:$H$307,10)</f>
        <v>nein</v>
      </c>
      <c r="O51" s="500"/>
      <c r="P51" s="496"/>
      <c r="Q51" s="496"/>
      <c r="R51" s="502" t="str">
        <f>HLOOKUP('4 Language'!$B$2,'4 Language'!$C$12:$H$307,9)</f>
        <v>ja</v>
      </c>
      <c r="S51" s="495"/>
      <c r="T51" s="502" t="str">
        <f>HLOOKUP('4 Language'!$B$2,'4 Language'!$C$12:$H$307,10)</f>
        <v>nein</v>
      </c>
      <c r="U51" s="500"/>
      <c r="V51" s="496"/>
      <c r="W51" s="496"/>
      <c r="X51" s="502" t="str">
        <f>HLOOKUP('4 Language'!$B$2,'4 Language'!$C$12:$H$307,9)</f>
        <v>ja</v>
      </c>
      <c r="Y51" s="495"/>
      <c r="Z51" s="502" t="str">
        <f>HLOOKUP('4 Language'!$B$2,'4 Language'!$C$12:$H$307,10)</f>
        <v>nein</v>
      </c>
      <c r="AA51" s="500"/>
      <c r="AB51" s="496"/>
      <c r="AD51" s="199"/>
      <c r="AH51" s="185"/>
      <c r="AI51" s="422" t="s">
        <v>1546</v>
      </c>
      <c r="AJ51" s="422" t="s">
        <v>1545</v>
      </c>
      <c r="AK51" s="424" t="b">
        <f>FALSE</f>
        <v>0</v>
      </c>
      <c r="AL51" s="424" t="b">
        <f>FALSE</f>
        <v>0</v>
      </c>
    </row>
    <row r="52" spans="2:38" ht="19.5" customHeight="1" x14ac:dyDescent="0.2">
      <c r="B52" s="505" t="str">
        <f>HLOOKUP('4 Language'!$B$2,'4 Language'!$C$12:$H$307,41)</f>
        <v>Siegelzeit</v>
      </c>
      <c r="C52" s="211"/>
      <c r="D52" s="211"/>
      <c r="E52" s="211"/>
      <c r="F52" s="211"/>
      <c r="G52" s="211"/>
      <c r="H52" s="505" t="str">
        <f>HLOOKUP('4 Language'!$B$2,'4 Language'!$C$12:$H$307,251)</f>
        <v>[ermittelt]</v>
      </c>
      <c r="I52" s="211"/>
      <c r="J52" s="211"/>
      <c r="K52" s="211"/>
      <c r="L52" s="211"/>
      <c r="M52" s="507"/>
      <c r="N52" s="805"/>
      <c r="O52" s="806"/>
      <c r="P52" s="493" t="s">
        <v>7</v>
      </c>
      <c r="Q52" s="211"/>
      <c r="R52" s="211"/>
      <c r="S52" s="507"/>
      <c r="T52" s="805"/>
      <c r="U52" s="806"/>
      <c r="V52" s="493" t="s">
        <v>7</v>
      </c>
      <c r="W52" s="211"/>
      <c r="X52" s="211"/>
      <c r="Y52" s="507"/>
      <c r="Z52" s="805"/>
      <c r="AA52" s="806"/>
      <c r="AB52" s="493" t="s">
        <v>7</v>
      </c>
      <c r="AD52" s="199"/>
      <c r="AE52" s="205"/>
      <c r="AH52" s="185"/>
    </row>
    <row r="53" spans="2:38" ht="19.5" customHeight="1" x14ac:dyDescent="0.2">
      <c r="B53" s="495" t="str">
        <f>"* "&amp;(HLOOKUP('4 Language'!$B$2,'4 Language'!$C$12:$H$307,42))</f>
        <v>* Restkühlzeit</v>
      </c>
      <c r="C53" s="496"/>
      <c r="D53" s="496"/>
      <c r="E53" s="496"/>
      <c r="F53" s="496"/>
      <c r="G53" s="496"/>
      <c r="H53" s="496"/>
      <c r="I53" s="496"/>
      <c r="J53" s="496"/>
      <c r="K53" s="496"/>
      <c r="L53" s="496"/>
      <c r="M53" s="551" t="str">
        <f>IF(N30&gt;N53,"[!]","")</f>
        <v>[!]</v>
      </c>
      <c r="N53" s="791"/>
      <c r="O53" s="792"/>
      <c r="P53" s="498" t="s">
        <v>7</v>
      </c>
      <c r="Q53" s="552" t="str">
        <f>IF(N30&gt;N53,HLOOKUP('4 Language'!$B$2,'4 Language'!$C$12:$H$307,280),"")</f>
        <v>Abgleich mit Dosierzeit empfohlen.</v>
      </c>
      <c r="R53" s="496"/>
      <c r="S53" s="496"/>
      <c r="T53" s="496"/>
      <c r="U53" s="553"/>
      <c r="V53" s="496"/>
      <c r="W53" s="496"/>
      <c r="X53" s="496"/>
      <c r="Y53" s="496"/>
      <c r="Z53" s="496"/>
      <c r="AA53" s="553"/>
      <c r="AB53" s="496"/>
      <c r="AD53" s="199"/>
      <c r="AE53" s="205"/>
      <c r="AH53" s="185"/>
    </row>
    <row r="54" spans="2:38" ht="21.6" customHeight="1" x14ac:dyDescent="0.2">
      <c r="L54" s="443" t="str">
        <f>HLOOKUP('4 Language'!$B$2,'4 Language'!$C$12:$H$307,77)</f>
        <v>Bei mehr als 4 Kavitäten bitte nachfolgend jeweils das Gewicht aus der leichtesten und schwersten Kavität angeben.</v>
      </c>
      <c r="AD54" s="199"/>
      <c r="AE54" s="205"/>
      <c r="AH54" s="185"/>
    </row>
    <row r="55" spans="2:38" ht="21.6" customHeight="1" x14ac:dyDescent="0.2">
      <c r="B55" s="505" t="str">
        <f>HLOOKUP('4 Language'!$B$2,'4 Language'!$C$12:$H$307,76)</f>
        <v>Teilegewicht je Kavität (gewogen)</v>
      </c>
      <c r="C55" s="211"/>
      <c r="D55" s="211"/>
      <c r="E55" s="211"/>
      <c r="F55" s="211"/>
      <c r="G55" s="211"/>
      <c r="H55" s="211"/>
      <c r="I55" s="505" t="s">
        <v>1497</v>
      </c>
      <c r="J55" s="211"/>
      <c r="K55" s="550" t="s">
        <v>1496</v>
      </c>
      <c r="L55" s="782"/>
      <c r="M55" s="783"/>
      <c r="N55" s="822"/>
      <c r="O55" s="823"/>
      <c r="P55" s="549" t="s">
        <v>304</v>
      </c>
      <c r="Q55" s="550" t="s">
        <v>1496</v>
      </c>
      <c r="R55" s="782"/>
      <c r="S55" s="783"/>
      <c r="T55" s="822"/>
      <c r="U55" s="823"/>
      <c r="V55" s="549" t="s">
        <v>304</v>
      </c>
      <c r="W55" s="550" t="s">
        <v>1496</v>
      </c>
      <c r="X55" s="782"/>
      <c r="Y55" s="783"/>
      <c r="Z55" s="822"/>
      <c r="AA55" s="823"/>
      <c r="AB55" s="549" t="s">
        <v>304</v>
      </c>
      <c r="AD55" s="199"/>
      <c r="AE55" s="205"/>
      <c r="AH55" s="185"/>
    </row>
    <row r="56" spans="2:38" ht="21.6" customHeight="1" x14ac:dyDescent="0.2">
      <c r="B56" s="495" t="str">
        <f>HLOOKUP('4 Language'!$B$2,'4 Language'!$C$12:$H$307,268)</f>
        <v>Angussgewicht je Komponente</v>
      </c>
      <c r="C56" s="496"/>
      <c r="D56" s="496"/>
      <c r="E56" s="496"/>
      <c r="F56" s="496"/>
      <c r="G56" s="496"/>
      <c r="H56" s="496"/>
      <c r="I56" s="496"/>
      <c r="J56" s="496"/>
      <c r="K56" s="527"/>
      <c r="L56" s="496"/>
      <c r="M56" s="496"/>
      <c r="N56" s="791"/>
      <c r="O56" s="792"/>
      <c r="P56" s="499" t="s">
        <v>304</v>
      </c>
      <c r="Q56" s="527"/>
      <c r="R56" s="496"/>
      <c r="S56" s="496"/>
      <c r="T56" s="791"/>
      <c r="U56" s="792"/>
      <c r="V56" s="499" t="s">
        <v>304</v>
      </c>
      <c r="W56" s="527"/>
      <c r="X56" s="496"/>
      <c r="Y56" s="496"/>
      <c r="Z56" s="791"/>
      <c r="AA56" s="792"/>
      <c r="AB56" s="499" t="s">
        <v>304</v>
      </c>
      <c r="AD56" s="199"/>
      <c r="AE56" s="205"/>
      <c r="AH56" s="185"/>
    </row>
    <row r="57" spans="2:38" ht="21.6" customHeight="1" x14ac:dyDescent="0.2">
      <c r="B57" s="495" t="str">
        <f>HLOOKUP('4 Language'!$B$2,'4 Language'!$C$12:$H$307,267)</f>
        <v>Projizierte Fläche der Einzelkomponenten</v>
      </c>
      <c r="C57" s="496"/>
      <c r="D57" s="496"/>
      <c r="E57" s="496"/>
      <c r="F57" s="496"/>
      <c r="G57" s="496"/>
      <c r="H57" s="496"/>
      <c r="I57" s="496"/>
      <c r="J57" s="496"/>
      <c r="K57" s="496"/>
      <c r="L57" s="496"/>
      <c r="M57" s="509" t="str">
        <f>HLOOKUP('4 Language'!$B$2,'4 Language'!$C$12:$H$307,285)</f>
        <v xml:space="preserve">Basis für Berechnung  </v>
      </c>
      <c r="N57" s="780"/>
      <c r="O57" s="781"/>
      <c r="P57" s="499" t="s">
        <v>333</v>
      </c>
      <c r="Q57" s="496"/>
      <c r="R57" s="496"/>
      <c r="S57" s="509" t="str">
        <f>HLOOKUP('4 Language'!$B$2,'4 Language'!$C$12:$H$307,286)</f>
        <v xml:space="preserve">Info  </v>
      </c>
      <c r="T57" s="780"/>
      <c r="U57" s="781"/>
      <c r="V57" s="499" t="s">
        <v>333</v>
      </c>
      <c r="W57" s="496"/>
      <c r="X57" s="496"/>
      <c r="Y57" s="509" t="str">
        <f>HLOOKUP('4 Language'!$B$2,'4 Language'!$C$12:$H$307,286)</f>
        <v xml:space="preserve">Info  </v>
      </c>
      <c r="Z57" s="780"/>
      <c r="AA57" s="781"/>
      <c r="AB57" s="499" t="s">
        <v>333</v>
      </c>
      <c r="AD57" s="199"/>
      <c r="AH57" s="185"/>
    </row>
    <row r="58" spans="2:38" ht="9" customHeight="1" x14ac:dyDescent="0.2">
      <c r="B58" s="207"/>
      <c r="C58" s="207"/>
      <c r="D58" s="207"/>
      <c r="E58" s="207"/>
      <c r="F58" s="207"/>
      <c r="G58" s="207"/>
      <c r="H58" s="207"/>
      <c r="I58" s="207"/>
      <c r="J58" s="207"/>
      <c r="K58" s="207"/>
      <c r="L58" s="207"/>
      <c r="M58" s="207"/>
      <c r="N58" s="207"/>
      <c r="O58" s="207"/>
      <c r="P58" s="207"/>
      <c r="Q58" s="207"/>
      <c r="R58" s="207"/>
      <c r="S58" s="207"/>
      <c r="T58" s="207"/>
      <c r="U58" s="207"/>
      <c r="V58" s="207"/>
      <c r="W58" s="207"/>
      <c r="X58" s="207"/>
      <c r="Y58" s="207"/>
      <c r="Z58" s="207"/>
      <c r="AA58" s="207"/>
      <c r="AB58" s="207"/>
      <c r="AD58" s="199"/>
      <c r="AH58" s="185"/>
    </row>
    <row r="59" spans="2:38" ht="19.5" customHeight="1" x14ac:dyDescent="0.2">
      <c r="B59" s="207" t="str">
        <f>HLOOKUP('4 Language'!$B$2,'4 Language'!$C$12:$H$307,275)</f>
        <v>Bemerkungen . Ergänzungen</v>
      </c>
      <c r="L59" s="812"/>
      <c r="M59" s="812"/>
      <c r="N59" s="812"/>
      <c r="O59" s="812"/>
      <c r="P59" s="812"/>
      <c r="Q59" s="812"/>
      <c r="R59" s="812"/>
      <c r="S59" s="812"/>
      <c r="T59" s="812"/>
      <c r="U59" s="812"/>
      <c r="V59" s="812"/>
      <c r="W59" s="812"/>
      <c r="X59" s="812"/>
      <c r="Y59" s="812"/>
      <c r="Z59" s="812"/>
      <c r="AA59" s="812"/>
      <c r="AB59" s="812"/>
      <c r="AD59" s="199"/>
      <c r="AH59" s="185"/>
    </row>
    <row r="60" spans="2:38" ht="21.6" customHeight="1" x14ac:dyDescent="0.2">
      <c r="B60" s="208" t="str">
        <f>(HLOOKUP('4 Language'!$B$2,'4 Language'!$C$12:$H$307,96))</f>
        <v>Bitte kurz beschreiben.</v>
      </c>
      <c r="C60" s="209"/>
      <c r="D60" s="209"/>
      <c r="E60" s="209"/>
      <c r="F60" s="209"/>
      <c r="G60" s="209"/>
      <c r="H60" s="209"/>
      <c r="I60" s="209"/>
      <c r="J60" s="209"/>
      <c r="K60" s="209"/>
      <c r="L60" s="813"/>
      <c r="M60" s="813"/>
      <c r="N60" s="813"/>
      <c r="O60" s="813"/>
      <c r="P60" s="813"/>
      <c r="Q60" s="813"/>
      <c r="R60" s="813"/>
      <c r="S60" s="813"/>
      <c r="T60" s="813"/>
      <c r="U60" s="813"/>
      <c r="V60" s="813"/>
      <c r="W60" s="813"/>
      <c r="X60" s="813"/>
      <c r="Y60" s="813"/>
      <c r="Z60" s="813"/>
      <c r="AA60" s="813"/>
      <c r="AB60" s="813"/>
      <c r="AD60" s="199"/>
      <c r="AH60" s="185"/>
    </row>
    <row r="61" spans="2:38" ht="9" customHeight="1" x14ac:dyDescent="0.2">
      <c r="AC61" s="197"/>
      <c r="AD61" s="199"/>
      <c r="AE61" s="205"/>
      <c r="AH61" s="185"/>
    </row>
    <row r="62" spans="2:38" ht="9" customHeight="1" x14ac:dyDescent="0.2">
      <c r="AD62" s="199"/>
      <c r="AE62" s="205"/>
      <c r="AH62" s="185"/>
    </row>
    <row r="63" spans="2:38" ht="19.5" customHeight="1" x14ac:dyDescent="0.2">
      <c r="B63" s="210" t="str">
        <f>HLOOKUP('4 Language'!$B$2,'4 Language'!$C$12:$H$307,269)</f>
        <v>Prozesstemperaturen</v>
      </c>
      <c r="C63" s="211"/>
      <c r="D63" s="211"/>
      <c r="E63" s="211"/>
      <c r="F63" s="211"/>
      <c r="G63" s="211"/>
      <c r="H63" s="211"/>
      <c r="I63" s="211"/>
      <c r="J63" s="211"/>
      <c r="K63" s="211"/>
      <c r="L63" s="211"/>
      <c r="M63" s="212"/>
      <c r="N63" s="213" t="str">
        <f>HLOOKUP('4 Language'!$B$2,'4 Language'!$C$12:$H$307,252)</f>
        <v xml:space="preserve">Komponente   </v>
      </c>
      <c r="O63" s="212">
        <v>1</v>
      </c>
      <c r="P63" s="211"/>
      <c r="Q63" s="211"/>
      <c r="R63" s="211"/>
      <c r="S63" s="211"/>
      <c r="T63" s="213" t="str">
        <f>HLOOKUP('4 Language'!$B$2,'4 Language'!$C$12:$H$307,252)</f>
        <v xml:space="preserve">Komponente   </v>
      </c>
      <c r="U63" s="212">
        <v>2</v>
      </c>
      <c r="V63" s="211"/>
      <c r="W63" s="211"/>
      <c r="X63" s="211"/>
      <c r="Y63" s="211"/>
      <c r="Z63" s="213" t="str">
        <f>HLOOKUP('4 Language'!$B$2,'4 Language'!$C$12:$H$307,252)</f>
        <v xml:space="preserve">Komponente   </v>
      </c>
      <c r="AA63" s="212">
        <v>3</v>
      </c>
      <c r="AB63" s="211"/>
      <c r="AD63" s="199"/>
      <c r="AE63" s="205"/>
      <c r="AH63" s="185"/>
    </row>
    <row r="64" spans="2:38" ht="19.5" customHeight="1" x14ac:dyDescent="0.2">
      <c r="B64" s="500" t="str">
        <f>HLOOKUP('4 Language'!$B$2,'4 Language'!$C$12:$H$307,270)</f>
        <v>Einzug</v>
      </c>
      <c r="C64" s="500"/>
      <c r="D64" s="496"/>
      <c r="E64" s="496"/>
      <c r="F64" s="496"/>
      <c r="G64" s="496"/>
      <c r="H64" s="496"/>
      <c r="I64" s="496"/>
      <c r="J64" s="497" t="str">
        <f>HLOOKUP('4 Language'!$B$2,'4 Language'!$C$12:$H$307,254)</f>
        <v>Wert I Toleranz</v>
      </c>
      <c r="K64" s="496"/>
      <c r="L64" s="778"/>
      <c r="M64" s="779"/>
      <c r="N64" s="545" t="s">
        <v>208</v>
      </c>
      <c r="O64" s="656"/>
      <c r="P64" s="499" t="s">
        <v>1500</v>
      </c>
      <c r="Q64" s="496"/>
      <c r="R64" s="778"/>
      <c r="S64" s="779"/>
      <c r="T64" s="545" t="s">
        <v>208</v>
      </c>
      <c r="U64" s="656"/>
      <c r="V64" s="499" t="s">
        <v>1500</v>
      </c>
      <c r="W64" s="496"/>
      <c r="X64" s="778"/>
      <c r="Y64" s="779"/>
      <c r="Z64" s="545" t="s">
        <v>208</v>
      </c>
      <c r="AA64" s="656"/>
      <c r="AB64" s="499" t="s">
        <v>1500</v>
      </c>
      <c r="AD64" s="199"/>
      <c r="AE64" s="205"/>
      <c r="AH64" s="185"/>
    </row>
    <row r="65" spans="1:38" ht="19.5" customHeight="1" x14ac:dyDescent="0.2">
      <c r="B65" s="500" t="str">
        <f>HLOOKUP('4 Language'!$B$2,'4 Language'!$C$12:$H$307,271)</f>
        <v>Zone</v>
      </c>
      <c r="C65" s="495">
        <v>1</v>
      </c>
      <c r="D65" s="496"/>
      <c r="E65" s="496"/>
      <c r="F65" s="496"/>
      <c r="G65" s="496"/>
      <c r="H65" s="496"/>
      <c r="I65" s="496"/>
      <c r="J65" s="497" t="str">
        <f>HLOOKUP('4 Language'!$B$2,'4 Language'!$C$12:$H$307,254)</f>
        <v>Wert I Toleranz</v>
      </c>
      <c r="K65" s="496"/>
      <c r="L65" s="778"/>
      <c r="M65" s="779"/>
      <c r="N65" s="545" t="s">
        <v>208</v>
      </c>
      <c r="O65" s="656"/>
      <c r="P65" s="499" t="s">
        <v>1500</v>
      </c>
      <c r="Q65" s="496"/>
      <c r="R65" s="778"/>
      <c r="S65" s="779"/>
      <c r="T65" s="545" t="s">
        <v>208</v>
      </c>
      <c r="U65" s="656"/>
      <c r="V65" s="499" t="s">
        <v>1500</v>
      </c>
      <c r="W65" s="496"/>
      <c r="X65" s="778"/>
      <c r="Y65" s="779"/>
      <c r="Z65" s="545" t="s">
        <v>208</v>
      </c>
      <c r="AA65" s="656"/>
      <c r="AB65" s="499" t="s">
        <v>1500</v>
      </c>
      <c r="AD65" s="199"/>
      <c r="AE65" s="205"/>
      <c r="AH65" s="185"/>
    </row>
    <row r="66" spans="1:38" ht="19.5" customHeight="1" x14ac:dyDescent="0.2">
      <c r="B66" s="500" t="str">
        <f>HLOOKUP('4 Language'!$B$2,'4 Language'!$C$12:$H$307,271)</f>
        <v>Zone</v>
      </c>
      <c r="C66" s="495">
        <v>2</v>
      </c>
      <c r="D66" s="496"/>
      <c r="E66" s="496"/>
      <c r="F66" s="496"/>
      <c r="G66" s="496"/>
      <c r="H66" s="496"/>
      <c r="I66" s="496"/>
      <c r="J66" s="497" t="str">
        <f>HLOOKUP('4 Language'!$B$2,'4 Language'!$C$12:$H$307,254)</f>
        <v>Wert I Toleranz</v>
      </c>
      <c r="K66" s="496"/>
      <c r="L66" s="778"/>
      <c r="M66" s="779"/>
      <c r="N66" s="545" t="s">
        <v>208</v>
      </c>
      <c r="O66" s="656"/>
      <c r="P66" s="499" t="s">
        <v>1500</v>
      </c>
      <c r="Q66" s="496"/>
      <c r="R66" s="778"/>
      <c r="S66" s="779"/>
      <c r="T66" s="545" t="s">
        <v>208</v>
      </c>
      <c r="U66" s="656"/>
      <c r="V66" s="499" t="s">
        <v>1500</v>
      </c>
      <c r="W66" s="496"/>
      <c r="X66" s="778"/>
      <c r="Y66" s="779"/>
      <c r="Z66" s="545" t="s">
        <v>208</v>
      </c>
      <c r="AA66" s="656"/>
      <c r="AB66" s="499" t="s">
        <v>1500</v>
      </c>
      <c r="AD66" s="199"/>
      <c r="AE66" s="205"/>
      <c r="AH66" s="185"/>
    </row>
    <row r="67" spans="1:38" ht="19.5" customHeight="1" x14ac:dyDescent="0.2">
      <c r="B67" s="500" t="str">
        <f>HLOOKUP('4 Language'!$B$2,'4 Language'!$C$12:$H$307,271)</f>
        <v>Zone</v>
      </c>
      <c r="C67" s="495">
        <v>3</v>
      </c>
      <c r="D67" s="496"/>
      <c r="E67" s="496"/>
      <c r="F67" s="496"/>
      <c r="G67" s="496"/>
      <c r="H67" s="496"/>
      <c r="I67" s="496"/>
      <c r="J67" s="497" t="str">
        <f>HLOOKUP('4 Language'!$B$2,'4 Language'!$C$12:$H$307,254)</f>
        <v>Wert I Toleranz</v>
      </c>
      <c r="K67" s="496"/>
      <c r="L67" s="778"/>
      <c r="M67" s="779"/>
      <c r="N67" s="545" t="s">
        <v>208</v>
      </c>
      <c r="O67" s="656"/>
      <c r="P67" s="499" t="s">
        <v>1500</v>
      </c>
      <c r="Q67" s="496"/>
      <c r="R67" s="778"/>
      <c r="S67" s="779"/>
      <c r="T67" s="545" t="s">
        <v>208</v>
      </c>
      <c r="U67" s="656"/>
      <c r="V67" s="499" t="s">
        <v>1500</v>
      </c>
      <c r="W67" s="496"/>
      <c r="X67" s="778"/>
      <c r="Y67" s="779"/>
      <c r="Z67" s="545" t="s">
        <v>208</v>
      </c>
      <c r="AA67" s="656"/>
      <c r="AB67" s="499" t="s">
        <v>1500</v>
      </c>
      <c r="AD67" s="199"/>
      <c r="AE67" s="205"/>
      <c r="AH67" s="185"/>
    </row>
    <row r="68" spans="1:38" ht="19.5" customHeight="1" x14ac:dyDescent="0.2">
      <c r="B68" s="500" t="str">
        <f>HLOOKUP('4 Language'!$B$2,'4 Language'!$C$12:$H$307,271)</f>
        <v>Zone</v>
      </c>
      <c r="C68" s="495">
        <v>4</v>
      </c>
      <c r="D68" s="496"/>
      <c r="E68" s="496"/>
      <c r="F68" s="496"/>
      <c r="G68" s="496"/>
      <c r="H68" s="496"/>
      <c r="I68" s="496"/>
      <c r="J68" s="497" t="str">
        <f>HLOOKUP('4 Language'!$B$2,'4 Language'!$C$12:$H$307,254)</f>
        <v>Wert I Toleranz</v>
      </c>
      <c r="K68" s="496"/>
      <c r="L68" s="660"/>
      <c r="M68" s="661"/>
      <c r="N68" s="545" t="s">
        <v>208</v>
      </c>
      <c r="O68" s="656"/>
      <c r="P68" s="499" t="s">
        <v>1500</v>
      </c>
      <c r="Q68" s="496"/>
      <c r="R68" s="660"/>
      <c r="S68" s="661"/>
      <c r="T68" s="545" t="s">
        <v>208</v>
      </c>
      <c r="U68" s="656"/>
      <c r="V68" s="499" t="s">
        <v>1500</v>
      </c>
      <c r="W68" s="496"/>
      <c r="X68" s="660"/>
      <c r="Y68" s="661"/>
      <c r="Z68" s="545" t="s">
        <v>208</v>
      </c>
      <c r="AA68" s="656"/>
      <c r="AB68" s="499" t="s">
        <v>1500</v>
      </c>
      <c r="AD68" s="199"/>
      <c r="AE68" s="205"/>
      <c r="AH68" s="185"/>
    </row>
    <row r="69" spans="1:38" ht="19.5" customHeight="1" x14ac:dyDescent="0.2">
      <c r="B69" s="500" t="str">
        <f>HLOOKUP('4 Language'!$B$2,'4 Language'!$C$12:$H$307,271)</f>
        <v>Zone</v>
      </c>
      <c r="C69" s="495">
        <v>5</v>
      </c>
      <c r="D69" s="496"/>
      <c r="E69" s="496"/>
      <c r="F69" s="496"/>
      <c r="G69" s="496"/>
      <c r="H69" s="496"/>
      <c r="I69" s="496"/>
      <c r="J69" s="497" t="str">
        <f>HLOOKUP('4 Language'!$B$2,'4 Language'!$C$12:$H$307,254)</f>
        <v>Wert I Toleranz</v>
      </c>
      <c r="K69" s="496"/>
      <c r="L69" s="778"/>
      <c r="M69" s="779"/>
      <c r="N69" s="545" t="s">
        <v>208</v>
      </c>
      <c r="O69" s="656"/>
      <c r="P69" s="499" t="s">
        <v>1500</v>
      </c>
      <c r="Q69" s="496"/>
      <c r="R69" s="778"/>
      <c r="S69" s="779"/>
      <c r="T69" s="545" t="s">
        <v>208</v>
      </c>
      <c r="U69" s="656"/>
      <c r="V69" s="499" t="s">
        <v>1500</v>
      </c>
      <c r="W69" s="496"/>
      <c r="X69" s="778"/>
      <c r="Y69" s="779"/>
      <c r="Z69" s="545" t="s">
        <v>208</v>
      </c>
      <c r="AA69" s="656"/>
      <c r="AB69" s="499" t="s">
        <v>1500</v>
      </c>
      <c r="AD69" s="199"/>
      <c r="AE69" s="205"/>
      <c r="AH69" s="185"/>
    </row>
    <row r="70" spans="1:38" ht="19.5" customHeight="1" x14ac:dyDescent="0.2">
      <c r="B70" s="546"/>
      <c r="C70" s="546"/>
      <c r="D70" s="547"/>
      <c r="E70" s="547"/>
      <c r="F70" s="547"/>
      <c r="G70" s="496"/>
      <c r="H70" s="496"/>
      <c r="I70" s="496"/>
      <c r="J70" s="497" t="str">
        <f>HLOOKUP('4 Language'!$B$2,'4 Language'!$C$12:$H$307,254)</f>
        <v>Wert I Toleranz</v>
      </c>
      <c r="K70" s="496"/>
      <c r="L70" s="660"/>
      <c r="M70" s="661"/>
      <c r="N70" s="545" t="s">
        <v>208</v>
      </c>
      <c r="O70" s="656"/>
      <c r="P70" s="499" t="s">
        <v>1500</v>
      </c>
      <c r="Q70" s="496"/>
      <c r="R70" s="660"/>
      <c r="S70" s="661"/>
      <c r="T70" s="545" t="s">
        <v>208</v>
      </c>
      <c r="U70" s="656"/>
      <c r="V70" s="499" t="s">
        <v>1500</v>
      </c>
      <c r="W70" s="496"/>
      <c r="X70" s="660"/>
      <c r="Y70" s="661"/>
      <c r="Z70" s="545" t="s">
        <v>208</v>
      </c>
      <c r="AA70" s="656"/>
      <c r="AB70" s="499" t="s">
        <v>1500</v>
      </c>
      <c r="AD70" s="199"/>
      <c r="AE70" s="205"/>
      <c r="AH70" s="185"/>
    </row>
    <row r="71" spans="1:38" ht="19.5" customHeight="1" x14ac:dyDescent="0.2">
      <c r="B71" s="500" t="str">
        <f>HLOOKUP('4 Language'!$B$2,'4 Language'!$C$12:$H$307,272)</f>
        <v>Düse</v>
      </c>
      <c r="C71" s="500"/>
      <c r="D71" s="496"/>
      <c r="E71" s="496"/>
      <c r="F71" s="496"/>
      <c r="G71" s="496"/>
      <c r="H71" s="496"/>
      <c r="I71" s="496"/>
      <c r="J71" s="497" t="str">
        <f>HLOOKUP('4 Language'!$B$2,'4 Language'!$C$12:$H$307,254)</f>
        <v>Wert I Toleranz</v>
      </c>
      <c r="K71" s="496"/>
      <c r="L71" s="778"/>
      <c r="M71" s="779"/>
      <c r="N71" s="545" t="s">
        <v>208</v>
      </c>
      <c r="O71" s="656"/>
      <c r="P71" s="499" t="s">
        <v>1500</v>
      </c>
      <c r="Q71" s="496"/>
      <c r="R71" s="778"/>
      <c r="S71" s="779"/>
      <c r="T71" s="545" t="s">
        <v>208</v>
      </c>
      <c r="U71" s="656"/>
      <c r="V71" s="499" t="s">
        <v>1500</v>
      </c>
      <c r="W71" s="496"/>
      <c r="X71" s="778"/>
      <c r="Y71" s="779"/>
      <c r="Z71" s="545" t="s">
        <v>208</v>
      </c>
      <c r="AA71" s="656"/>
      <c r="AB71" s="499" t="s">
        <v>1500</v>
      </c>
      <c r="AD71" s="199"/>
      <c r="AH71" s="185"/>
    </row>
    <row r="72" spans="1:38" ht="19.5" customHeight="1" x14ac:dyDescent="0.2">
      <c r="B72" s="495" t="str">
        <f>HLOOKUP('4 Language'!$B$2,'4 Language'!$C$12:$H$307,55)</f>
        <v>Gemessene Massetemperatur nach Extruder</v>
      </c>
      <c r="C72" s="500"/>
      <c r="D72" s="496"/>
      <c r="E72" s="496"/>
      <c r="F72" s="496"/>
      <c r="G72" s="496"/>
      <c r="H72" s="496"/>
      <c r="I72" s="496"/>
      <c r="J72" s="496"/>
      <c r="K72" s="496"/>
      <c r="L72" s="496"/>
      <c r="M72" s="524"/>
      <c r="N72" s="778"/>
      <c r="O72" s="779"/>
      <c r="P72" s="499" t="s">
        <v>1500</v>
      </c>
      <c r="Q72" s="496"/>
      <c r="R72" s="496"/>
      <c r="S72" s="524"/>
      <c r="T72" s="778"/>
      <c r="U72" s="779"/>
      <c r="V72" s="499" t="s">
        <v>1500</v>
      </c>
      <c r="W72" s="496"/>
      <c r="X72" s="496"/>
      <c r="Y72" s="524"/>
      <c r="Z72" s="778"/>
      <c r="AA72" s="779"/>
      <c r="AB72" s="499" t="s">
        <v>1500</v>
      </c>
      <c r="AD72" s="199"/>
      <c r="AE72" s="205"/>
      <c r="AH72" s="185"/>
    </row>
    <row r="73" spans="1:38" ht="9" customHeight="1" x14ac:dyDescent="0.2">
      <c r="B73" s="207"/>
      <c r="C73" s="215"/>
      <c r="S73" s="189"/>
      <c r="U73" s="175"/>
      <c r="Y73" s="189"/>
      <c r="AA73" s="175"/>
      <c r="AD73" s="199"/>
      <c r="AE73" s="205"/>
      <c r="AH73" s="185"/>
    </row>
    <row r="74" spans="1:38" ht="19.5" customHeight="1" x14ac:dyDescent="0.2">
      <c r="B74" s="491" t="str">
        <f>HLOOKUP('4 Language'!$B$2,'4 Language'!$C$12:$H$307,273)</f>
        <v>Heißkanalverteiler</v>
      </c>
      <c r="C74" s="491"/>
      <c r="D74" s="211"/>
      <c r="E74" s="211"/>
      <c r="F74" s="211"/>
      <c r="G74" s="211"/>
      <c r="H74" s="211"/>
      <c r="I74" s="211"/>
      <c r="J74" s="492" t="str">
        <f>HLOOKUP('4 Language'!$B$2,'4 Language'!$C$12:$H$307,254)</f>
        <v>Wert I Toleranz</v>
      </c>
      <c r="K74" s="211"/>
      <c r="L74" s="836"/>
      <c r="M74" s="836"/>
      <c r="N74" s="548" t="s">
        <v>208</v>
      </c>
      <c r="O74" s="659"/>
      <c r="P74" s="549" t="s">
        <v>1500</v>
      </c>
      <c r="Q74" s="211"/>
      <c r="R74" s="836"/>
      <c r="S74" s="836"/>
      <c r="T74" s="548" t="s">
        <v>208</v>
      </c>
      <c r="U74" s="659"/>
      <c r="V74" s="549" t="s">
        <v>1500</v>
      </c>
      <c r="W74" s="211"/>
      <c r="X74" s="836"/>
      <c r="Y74" s="836"/>
      <c r="Z74" s="548" t="s">
        <v>208</v>
      </c>
      <c r="AA74" s="659"/>
      <c r="AB74" s="549" t="s">
        <v>1500</v>
      </c>
      <c r="AD74" s="199"/>
      <c r="AE74" s="205"/>
      <c r="AH74" s="185"/>
    </row>
    <row r="75" spans="1:38" ht="19.5" customHeight="1" x14ac:dyDescent="0.2">
      <c r="B75" s="500" t="str">
        <f>HLOOKUP('4 Language'!$B$2,'4 Language'!$C$12:$H$307,274)</f>
        <v>Heißkanaldüsen</v>
      </c>
      <c r="C75" s="500"/>
      <c r="D75" s="496"/>
      <c r="E75" s="496"/>
      <c r="F75" s="496"/>
      <c r="G75" s="496"/>
      <c r="H75" s="496"/>
      <c r="I75" s="496"/>
      <c r="J75" s="497" t="str">
        <f>HLOOKUP('4 Language'!$B$2,'4 Language'!$C$12:$H$307,254)</f>
        <v>Wert I Toleranz</v>
      </c>
      <c r="K75" s="496"/>
      <c r="L75" s="779"/>
      <c r="M75" s="779"/>
      <c r="N75" s="545" t="s">
        <v>208</v>
      </c>
      <c r="O75" s="657"/>
      <c r="P75" s="499" t="s">
        <v>1500</v>
      </c>
      <c r="Q75" s="496"/>
      <c r="R75" s="779"/>
      <c r="S75" s="779"/>
      <c r="T75" s="545" t="s">
        <v>208</v>
      </c>
      <c r="U75" s="657"/>
      <c r="V75" s="499" t="s">
        <v>1500</v>
      </c>
      <c r="W75" s="496"/>
      <c r="X75" s="779"/>
      <c r="Y75" s="779"/>
      <c r="Z75" s="545" t="s">
        <v>208</v>
      </c>
      <c r="AA75" s="657"/>
      <c r="AB75" s="499" t="s">
        <v>1500</v>
      </c>
      <c r="AD75" s="199"/>
      <c r="AE75" s="205"/>
      <c r="AH75" s="185"/>
    </row>
    <row r="76" spans="1:38" ht="9" customHeight="1" x14ac:dyDescent="0.2">
      <c r="A76" s="214"/>
      <c r="B76" s="214"/>
      <c r="C76" s="214"/>
      <c r="D76" s="214"/>
      <c r="E76" s="214"/>
      <c r="F76" s="214"/>
      <c r="G76" s="214"/>
      <c r="H76" s="214"/>
      <c r="I76" s="214"/>
      <c r="J76" s="214"/>
      <c r="K76" s="214"/>
      <c r="L76" s="214"/>
      <c r="M76" s="214"/>
      <c r="N76" s="214"/>
      <c r="O76" s="214"/>
      <c r="P76" s="214"/>
      <c r="Q76" s="214"/>
      <c r="R76" s="214"/>
      <c r="S76" s="214"/>
      <c r="T76" s="214"/>
      <c r="U76" s="214"/>
      <c r="V76" s="214"/>
      <c r="W76" s="214"/>
      <c r="X76" s="214"/>
      <c r="Y76" s="214"/>
      <c r="Z76" s="214"/>
      <c r="AA76" s="214"/>
      <c r="AB76" s="214"/>
      <c r="AD76" s="199"/>
      <c r="AE76" s="205"/>
      <c r="AH76" s="185"/>
    </row>
    <row r="77" spans="1:38" ht="19.5" customHeight="1" x14ac:dyDescent="0.2">
      <c r="B77" s="201" t="str">
        <f>HLOOKUP('4 Language'!$B$2,'4 Language'!$C$12:$H$307,276)</f>
        <v>Temperierung</v>
      </c>
      <c r="C77" s="202"/>
      <c r="D77" s="202"/>
      <c r="E77" s="202"/>
      <c r="F77" s="202"/>
      <c r="G77" s="202"/>
      <c r="H77" s="202"/>
      <c r="I77" s="202"/>
      <c r="J77" s="202"/>
      <c r="K77" s="202"/>
      <c r="L77" s="202"/>
      <c r="M77" s="203"/>
      <c r="N77" s="204" t="str">
        <f>HLOOKUP('4 Language'!$B$2,'4 Language'!$C$12:$H$307,252)</f>
        <v xml:space="preserve">Komponente   </v>
      </c>
      <c r="O77" s="203">
        <v>1</v>
      </c>
      <c r="P77" s="202"/>
      <c r="Q77" s="202"/>
      <c r="R77" s="202"/>
      <c r="S77" s="202"/>
      <c r="T77" s="204" t="str">
        <f>HLOOKUP('4 Language'!$B$2,'4 Language'!$C$12:$H$307,252)</f>
        <v xml:space="preserve">Komponente   </v>
      </c>
      <c r="U77" s="203">
        <v>2</v>
      </c>
      <c r="V77" s="202"/>
      <c r="W77" s="202"/>
      <c r="X77" s="202"/>
      <c r="Y77" s="202"/>
      <c r="Z77" s="204" t="str">
        <f>HLOOKUP('4 Language'!$B$2,'4 Language'!$C$12:$H$307,252)</f>
        <v xml:space="preserve">Komponente   </v>
      </c>
      <c r="AA77" s="203">
        <v>3</v>
      </c>
      <c r="AB77" s="202"/>
      <c r="AD77" s="199"/>
      <c r="AE77" s="205"/>
      <c r="AH77" s="185"/>
      <c r="AI77" s="422" t="s">
        <v>1577</v>
      </c>
      <c r="AJ77" s="422" t="s">
        <v>1578</v>
      </c>
      <c r="AK77" s="702"/>
      <c r="AL77" s="702"/>
    </row>
    <row r="78" spans="1:38" ht="19.899999999999999" customHeight="1" x14ac:dyDescent="0.2">
      <c r="B78" s="452" t="str">
        <f>"* "&amp;(HLOOKUP('4 Language'!$B$2,'4 Language'!$C$12:$H$307,244))</f>
        <v>* Temperiermedium</v>
      </c>
      <c r="C78" s="440"/>
      <c r="D78" s="440"/>
      <c r="E78" s="440"/>
      <c r="F78" s="440"/>
      <c r="G78" s="440"/>
      <c r="H78" s="440"/>
      <c r="I78" s="440"/>
      <c r="J78" s="440"/>
      <c r="K78" s="705" t="str">
        <f>HLOOKUP('4 Language'!$B$2,'4 Language'!$C$12:$H$307,14)</f>
        <v xml:space="preserve">primär </v>
      </c>
      <c r="L78" s="705"/>
      <c r="M78" s="452"/>
      <c r="N78" s="453"/>
      <c r="O78" s="456"/>
      <c r="P78" s="863" t="s">
        <v>1512</v>
      </c>
      <c r="Q78" s="863"/>
      <c r="R78" s="452" t="str">
        <f>"* "&amp;(HLOOKUP('4 Language'!$B$2,'4 Language'!$C$12:$H$307,244))</f>
        <v>* Temperiermedium</v>
      </c>
      <c r="S78" s="440"/>
      <c r="T78" s="440"/>
      <c r="U78" s="440"/>
      <c r="V78" s="440"/>
      <c r="W78" s="440"/>
      <c r="X78" s="705" t="str">
        <f>HLOOKUP('4 Language'!$B$2,'4 Language'!$C$12:$H$307,15)</f>
        <v xml:space="preserve">sekundär </v>
      </c>
      <c r="Y78" s="453"/>
      <c r="Z78" s="452"/>
      <c r="AA78" s="453"/>
      <c r="AB78" s="451"/>
      <c r="AD78" s="199"/>
      <c r="AE78" s="205"/>
      <c r="AH78" s="185"/>
      <c r="AI78" s="422" t="s">
        <v>1580</v>
      </c>
      <c r="AJ78" s="422" t="s">
        <v>1579</v>
      </c>
      <c r="AK78" s="702"/>
      <c r="AL78" s="702"/>
    </row>
    <row r="79" spans="1:38" ht="9" customHeight="1" x14ac:dyDescent="0.2">
      <c r="B79" s="454"/>
      <c r="C79" s="457"/>
      <c r="D79" s="457"/>
      <c r="E79" s="457"/>
      <c r="F79" s="457"/>
      <c r="G79" s="457"/>
      <c r="H79" s="457"/>
      <c r="I79" s="457"/>
      <c r="J79" s="457"/>
      <c r="K79" s="457"/>
      <c r="L79" s="458"/>
      <c r="M79" s="454"/>
      <c r="N79" s="458"/>
      <c r="O79" s="459"/>
      <c r="P79" s="460"/>
      <c r="Q79" s="454"/>
      <c r="R79" s="457"/>
      <c r="S79" s="457"/>
      <c r="T79" s="457"/>
      <c r="U79" s="457"/>
      <c r="V79" s="457"/>
      <c r="W79" s="457"/>
      <c r="X79" s="457"/>
      <c r="Y79" s="458"/>
      <c r="Z79" s="454"/>
      <c r="AA79" s="458"/>
      <c r="AB79" s="461"/>
      <c r="AD79" s="199"/>
      <c r="AE79" s="205"/>
      <c r="AH79" s="185"/>
    </row>
    <row r="80" spans="1:38" ht="19.5" customHeight="1" x14ac:dyDescent="0.2">
      <c r="B80" s="491" t="str">
        <f>"* "&amp;(HLOOKUP('4 Language'!$B$2,'4 Language'!$C$12:$H$307,260))</f>
        <v>* Vorlauftemperatur eingestellt</v>
      </c>
      <c r="C80" s="491"/>
      <c r="D80" s="211"/>
      <c r="E80" s="211"/>
      <c r="F80" s="211"/>
      <c r="G80" s="211"/>
      <c r="H80" s="211"/>
      <c r="I80" s="211"/>
      <c r="J80" s="492" t="s">
        <v>1510</v>
      </c>
      <c r="K80" s="493"/>
      <c r="L80" s="833"/>
      <c r="M80" s="834"/>
      <c r="N80" s="834"/>
      <c r="O80" s="835"/>
      <c r="P80" s="494" t="s">
        <v>1500</v>
      </c>
      <c r="Q80" s="211"/>
      <c r="R80" s="833"/>
      <c r="S80" s="834"/>
      <c r="T80" s="834"/>
      <c r="U80" s="835"/>
      <c r="V80" s="494" t="s">
        <v>1500</v>
      </c>
      <c r="W80" s="211"/>
      <c r="X80" s="833"/>
      <c r="Y80" s="834"/>
      <c r="Z80" s="834"/>
      <c r="AA80" s="835"/>
      <c r="AB80" s="494" t="s">
        <v>1500</v>
      </c>
      <c r="AD80" s="199"/>
      <c r="AE80" s="205"/>
      <c r="AH80" s="185"/>
      <c r="AI80" s="422" t="s">
        <v>1527</v>
      </c>
      <c r="AJ80" s="422" t="s">
        <v>1514</v>
      </c>
      <c r="AK80" s="424" t="b">
        <f>FALSE</f>
        <v>0</v>
      </c>
      <c r="AL80" s="424" t="b">
        <f>FALSE</f>
        <v>0</v>
      </c>
    </row>
    <row r="81" spans="2:38" ht="19.5" customHeight="1" x14ac:dyDescent="0.2">
      <c r="B81" s="495" t="str">
        <f>HLOOKUP('4 Language'!$B$2,'4 Language'!$C$12:$H$307,61)</f>
        <v xml:space="preserve">Gemessene Werkzeugtemperatur </v>
      </c>
      <c r="C81" s="496"/>
      <c r="D81" s="496"/>
      <c r="E81" s="496"/>
      <c r="F81" s="496"/>
      <c r="G81" s="496"/>
      <c r="H81" s="496"/>
      <c r="I81" s="496"/>
      <c r="J81" s="497" t="s">
        <v>1510</v>
      </c>
      <c r="K81" s="498"/>
      <c r="L81" s="859"/>
      <c r="M81" s="860"/>
      <c r="N81" s="860"/>
      <c r="O81" s="861"/>
      <c r="P81" s="499" t="s">
        <v>1500</v>
      </c>
      <c r="Q81" s="496"/>
      <c r="R81" s="859"/>
      <c r="S81" s="860"/>
      <c r="T81" s="860"/>
      <c r="U81" s="861"/>
      <c r="V81" s="499" t="s">
        <v>1500</v>
      </c>
      <c r="W81" s="496"/>
      <c r="X81" s="859"/>
      <c r="Y81" s="860"/>
      <c r="Z81" s="860"/>
      <c r="AA81" s="861"/>
      <c r="AB81" s="499" t="s">
        <v>1500</v>
      </c>
      <c r="AD81" s="199"/>
      <c r="AE81" s="205"/>
      <c r="AH81" s="185"/>
      <c r="AI81" s="422" t="s">
        <v>1528</v>
      </c>
      <c r="AJ81" s="422" t="s">
        <v>1515</v>
      </c>
      <c r="AK81" s="424" t="b">
        <f>FALSE</f>
        <v>0</v>
      </c>
      <c r="AL81" s="424" t="b">
        <f>FALSE</f>
        <v>0</v>
      </c>
    </row>
    <row r="82" spans="2:38" ht="19.5" customHeight="1" x14ac:dyDescent="0.2">
      <c r="B82" s="495" t="str">
        <f>"* "&amp;(HLOOKUP('4 Language'!$B$2,'4 Language'!$C$12:$H$307,66))</f>
        <v>* Anzahl der Temperierkreise im Werkzeug</v>
      </c>
      <c r="C82" s="500"/>
      <c r="D82" s="500"/>
      <c r="E82" s="495"/>
      <c r="F82" s="495"/>
      <c r="G82" s="495"/>
      <c r="H82" s="495"/>
      <c r="I82" s="495"/>
      <c r="J82" s="501"/>
      <c r="K82" s="501"/>
      <c r="L82" s="501"/>
      <c r="M82" s="658"/>
      <c r="N82" s="495" t="str">
        <f>HLOOKUP('4 Language'!$B$2,'4 Language'!$C$12:$H$307,177)</f>
        <v xml:space="preserve"> FS</v>
      </c>
      <c r="O82" s="658"/>
      <c r="P82" s="495" t="str">
        <f>HLOOKUP('4 Language'!$B$2,'4 Language'!$C$12:$H$307,178)</f>
        <v xml:space="preserve"> BS</v>
      </c>
      <c r="Q82" s="496"/>
      <c r="R82" s="501"/>
      <c r="S82" s="658"/>
      <c r="T82" s="495" t="str">
        <f>HLOOKUP('4 Language'!$B$2,'4 Language'!$C$12:$H$307,177)</f>
        <v xml:space="preserve"> FS</v>
      </c>
      <c r="U82" s="658"/>
      <c r="V82" s="495" t="str">
        <f>HLOOKUP('4 Language'!$B$2,'4 Language'!$C$12:$H$307,178)</f>
        <v xml:space="preserve"> BS</v>
      </c>
      <c r="W82" s="496"/>
      <c r="X82" s="501"/>
      <c r="Y82" s="658"/>
      <c r="Z82" s="495" t="str">
        <f>HLOOKUP('4 Language'!$B$2,'4 Language'!$C$12:$H$307,177)</f>
        <v xml:space="preserve"> FS</v>
      </c>
      <c r="AA82" s="658"/>
      <c r="AB82" s="495" t="str">
        <f>HLOOKUP('4 Language'!$B$2,'4 Language'!$C$12:$H$307,178)</f>
        <v xml:space="preserve"> BS</v>
      </c>
      <c r="AD82" s="199"/>
      <c r="AE82" s="205"/>
      <c r="AH82" s="185"/>
      <c r="AI82" s="422" t="s">
        <v>1529</v>
      </c>
      <c r="AJ82" s="422" t="s">
        <v>1516</v>
      </c>
      <c r="AK82" s="424" t="b">
        <f>FALSE</f>
        <v>0</v>
      </c>
      <c r="AL82" s="424" t="b">
        <f>FALSE</f>
        <v>0</v>
      </c>
    </row>
    <row r="83" spans="2:38" ht="19.5" customHeight="1" x14ac:dyDescent="0.2">
      <c r="B83" s="495" t="str">
        <f>"* "&amp;(HLOOKUP('4 Language'!$B$2,'4 Language'!$C$12:$H$307,64))</f>
        <v>* Temperaturfühler im Werkzeug?</v>
      </c>
      <c r="C83" s="500"/>
      <c r="D83" s="500"/>
      <c r="E83" s="495"/>
      <c r="F83" s="495"/>
      <c r="G83" s="495"/>
      <c r="H83" s="495"/>
      <c r="I83" s="495"/>
      <c r="J83" s="497"/>
      <c r="K83" s="496"/>
      <c r="L83" s="502" t="str">
        <f>HLOOKUP('4 Language'!$B$2,'4 Language'!$C$12:$H$307,9)</f>
        <v>ja</v>
      </c>
      <c r="M83" s="495"/>
      <c r="N83" s="502" t="str">
        <f>HLOOKUP('4 Language'!$B$2,'4 Language'!$C$12:$H$307,10)</f>
        <v>nein</v>
      </c>
      <c r="O83" s="500"/>
      <c r="P83" s="496"/>
      <c r="Q83" s="496"/>
      <c r="R83" s="502" t="str">
        <f>HLOOKUP('4 Language'!$B$2,'4 Language'!$C$12:$H$307,9)</f>
        <v>ja</v>
      </c>
      <c r="S83" s="495"/>
      <c r="T83" s="502" t="str">
        <f>HLOOKUP('4 Language'!$B$2,'4 Language'!$C$12:$H$307,10)</f>
        <v>nein</v>
      </c>
      <c r="U83" s="500"/>
      <c r="V83" s="496"/>
      <c r="W83" s="496"/>
      <c r="X83" s="502" t="str">
        <f>HLOOKUP('4 Language'!$B$2,'4 Language'!$C$12:$H$307,9)</f>
        <v>ja</v>
      </c>
      <c r="Y83" s="495"/>
      <c r="Z83" s="502" t="str">
        <f>HLOOKUP('4 Language'!$B$2,'4 Language'!$C$12:$H$307,10)</f>
        <v>nein</v>
      </c>
      <c r="AA83" s="500"/>
      <c r="AB83" s="496"/>
      <c r="AD83" s="199"/>
      <c r="AE83" s="205"/>
      <c r="AH83" s="185"/>
      <c r="AI83" s="422" t="s">
        <v>1583</v>
      </c>
      <c r="AJ83" s="422" t="s">
        <v>1588</v>
      </c>
      <c r="AK83" s="424" t="b">
        <f>FALSE</f>
        <v>0</v>
      </c>
      <c r="AL83" s="424" t="b">
        <f>FALSE</f>
        <v>0</v>
      </c>
    </row>
    <row r="84" spans="2:38" ht="20.45" customHeight="1" x14ac:dyDescent="0.2">
      <c r="B84" s="495" t="str">
        <f>"* "&amp;(HLOOKUP('4 Language'!$B$2,'4 Language'!$C$12:$H$307,65))</f>
        <v>* Werden diese zur Regelung genutzt?</v>
      </c>
      <c r="C84" s="500"/>
      <c r="D84" s="500"/>
      <c r="E84" s="495"/>
      <c r="F84" s="495"/>
      <c r="G84" s="495"/>
      <c r="H84" s="495"/>
      <c r="I84" s="495"/>
      <c r="J84" s="497"/>
      <c r="K84" s="496"/>
      <c r="L84" s="502" t="str">
        <f>HLOOKUP('4 Language'!$B$2,'4 Language'!$C$12:$H$307,9)</f>
        <v>ja</v>
      </c>
      <c r="M84" s="495"/>
      <c r="N84" s="502" t="str">
        <f>HLOOKUP('4 Language'!$B$2,'4 Language'!$C$12:$H$307,10)</f>
        <v>nein</v>
      </c>
      <c r="O84" s="500"/>
      <c r="P84" s="496"/>
      <c r="Q84" s="496"/>
      <c r="R84" s="502" t="str">
        <f>HLOOKUP('4 Language'!$B$2,'4 Language'!$C$12:$H$307,9)</f>
        <v>ja</v>
      </c>
      <c r="S84" s="495"/>
      <c r="T84" s="502" t="str">
        <f>HLOOKUP('4 Language'!$B$2,'4 Language'!$C$12:$H$307,10)</f>
        <v>nein</v>
      </c>
      <c r="U84" s="500"/>
      <c r="V84" s="496"/>
      <c r="W84" s="496"/>
      <c r="X84" s="502" t="str">
        <f>HLOOKUP('4 Language'!$B$2,'4 Language'!$C$12:$H$307,9)</f>
        <v>ja</v>
      </c>
      <c r="Y84" s="495"/>
      <c r="Z84" s="502" t="str">
        <f>HLOOKUP('4 Language'!$B$2,'4 Language'!$C$12:$H$307,10)</f>
        <v>nein</v>
      </c>
      <c r="AA84" s="500"/>
      <c r="AB84" s="496"/>
      <c r="AD84" s="199"/>
      <c r="AE84" s="205"/>
      <c r="AH84" s="185"/>
      <c r="AI84" s="422" t="s">
        <v>1584</v>
      </c>
      <c r="AJ84" s="422" t="s">
        <v>1587</v>
      </c>
      <c r="AK84" s="424" t="b">
        <f>FALSE</f>
        <v>0</v>
      </c>
      <c r="AL84" s="424" t="b">
        <f>FALSE</f>
        <v>0</v>
      </c>
    </row>
    <row r="85" spans="2:38" ht="20.45" customHeight="1" x14ac:dyDescent="0.2">
      <c r="B85" s="495" t="str">
        <f>"* "&amp;(HLOOKUP('4 Language'!$B$2,'4 Language'!$C$12:$H$307,67))</f>
        <v>* Anzahl der Temperiergeräte</v>
      </c>
      <c r="C85" s="500"/>
      <c r="D85" s="500"/>
      <c r="E85" s="495"/>
      <c r="F85" s="495"/>
      <c r="G85" s="495"/>
      <c r="H85" s="495"/>
      <c r="I85" s="495"/>
      <c r="J85" s="501"/>
      <c r="K85" s="501"/>
      <c r="L85" s="501"/>
      <c r="M85" s="501"/>
      <c r="N85" s="501"/>
      <c r="O85" s="658"/>
      <c r="P85" s="501"/>
      <c r="Q85" s="501"/>
      <c r="R85" s="501"/>
      <c r="S85" s="501"/>
      <c r="T85" s="501"/>
      <c r="U85" s="658"/>
      <c r="V85" s="501"/>
      <c r="W85" s="501"/>
      <c r="X85" s="501"/>
      <c r="Y85" s="501"/>
      <c r="Z85" s="501"/>
      <c r="AA85" s="658"/>
      <c r="AB85" s="501"/>
      <c r="AD85" s="199"/>
      <c r="AE85" s="205"/>
      <c r="AH85" s="185"/>
      <c r="AI85" s="422" t="s">
        <v>1585</v>
      </c>
      <c r="AJ85" s="422" t="s">
        <v>1586</v>
      </c>
      <c r="AK85" s="424" t="b">
        <f>FALSE</f>
        <v>0</v>
      </c>
      <c r="AL85" s="424" t="b">
        <f>FALSE</f>
        <v>0</v>
      </c>
    </row>
    <row r="86" spans="2:38" ht="19.5" customHeight="1" x14ac:dyDescent="0.2">
      <c r="B86" s="495" t="str">
        <f>"* "&amp;(HLOOKUP('4 Language'!$B$2,'4 Language'!$C$12:$H$307,176))</f>
        <v>* Leistungsangaben</v>
      </c>
      <c r="C86" s="500"/>
      <c r="D86" s="500"/>
      <c r="E86" s="495"/>
      <c r="F86" s="495"/>
      <c r="G86" s="495"/>
      <c r="H86" s="495"/>
      <c r="I86" s="497"/>
      <c r="J86" s="497" t="s">
        <v>1702</v>
      </c>
      <c r="K86" s="501"/>
      <c r="L86" s="658"/>
      <c r="M86" s="503" t="s">
        <v>1512</v>
      </c>
      <c r="N86" s="658"/>
      <c r="O86" s="503" t="s">
        <v>1512</v>
      </c>
      <c r="P86" s="658"/>
      <c r="Q86" s="500"/>
      <c r="R86" s="658"/>
      <c r="S86" s="503" t="s">
        <v>1512</v>
      </c>
      <c r="T86" s="658"/>
      <c r="U86" s="503" t="s">
        <v>1512</v>
      </c>
      <c r="V86" s="658"/>
      <c r="W86" s="501"/>
      <c r="X86" s="658"/>
      <c r="Y86" s="503" t="s">
        <v>1512</v>
      </c>
      <c r="Z86" s="658"/>
      <c r="AA86" s="503" t="s">
        <v>1512</v>
      </c>
      <c r="AB86" s="658"/>
      <c r="AD86" s="199"/>
      <c r="AE86" s="205"/>
      <c r="AH86" s="185"/>
    </row>
    <row r="87" spans="2:38" ht="9" customHeight="1" x14ac:dyDescent="0.2">
      <c r="B87" s="207"/>
      <c r="C87" s="215"/>
      <c r="D87" s="215"/>
      <c r="E87" s="207"/>
      <c r="F87" s="207"/>
      <c r="G87" s="207"/>
      <c r="H87" s="207"/>
      <c r="I87" s="207"/>
      <c r="J87" s="207"/>
      <c r="K87" s="207"/>
      <c r="L87" s="207"/>
      <c r="M87" s="207"/>
      <c r="N87" s="207"/>
      <c r="O87" s="207"/>
      <c r="P87" s="207"/>
      <c r="Q87" s="207"/>
      <c r="R87" s="207"/>
      <c r="S87" s="207"/>
      <c r="T87" s="207"/>
      <c r="U87" s="207"/>
      <c r="V87" s="207"/>
      <c r="W87" s="207"/>
      <c r="X87" s="207"/>
      <c r="Y87" s="207"/>
      <c r="Z87" s="207"/>
      <c r="AA87" s="207"/>
      <c r="AB87" s="207"/>
      <c r="AD87" s="199"/>
      <c r="AE87" s="205"/>
      <c r="AH87" s="185"/>
    </row>
    <row r="88" spans="2:38" ht="19.5" customHeight="1" x14ac:dyDescent="0.2">
      <c r="B88" s="207" t="str">
        <f>HLOOKUP('4 Language'!$B$2,'4 Language'!$C$12:$H$307,275)</f>
        <v>Bemerkungen . Ergänzungen</v>
      </c>
      <c r="L88" s="838"/>
      <c r="M88" s="838"/>
      <c r="N88" s="838"/>
      <c r="O88" s="838"/>
      <c r="P88" s="838"/>
      <c r="Q88" s="838"/>
      <c r="R88" s="838"/>
      <c r="S88" s="838"/>
      <c r="T88" s="838"/>
      <c r="U88" s="838"/>
      <c r="V88" s="838"/>
      <c r="W88" s="838"/>
      <c r="X88" s="838"/>
      <c r="Y88" s="838"/>
      <c r="Z88" s="838"/>
      <c r="AA88" s="838"/>
      <c r="AB88" s="838"/>
      <c r="AD88" s="199"/>
      <c r="AE88" s="205"/>
      <c r="AH88" s="185"/>
    </row>
    <row r="89" spans="2:38" ht="19.5" customHeight="1" x14ac:dyDescent="0.2">
      <c r="B89" s="504" t="str">
        <f>(HLOOKUP('4 Language'!$B$2,'4 Language'!$C$12:$H$307,96))</f>
        <v>Bitte kurz beschreiben.</v>
      </c>
      <c r="C89" s="211"/>
      <c r="D89" s="211"/>
      <c r="E89" s="211"/>
      <c r="F89" s="211"/>
      <c r="G89" s="211"/>
      <c r="H89" s="211"/>
      <c r="I89" s="211"/>
      <c r="J89" s="211"/>
      <c r="K89" s="211"/>
      <c r="L89" s="839"/>
      <c r="M89" s="839"/>
      <c r="N89" s="839"/>
      <c r="O89" s="839"/>
      <c r="P89" s="839"/>
      <c r="Q89" s="839"/>
      <c r="R89" s="839"/>
      <c r="S89" s="839"/>
      <c r="T89" s="839"/>
      <c r="U89" s="839"/>
      <c r="V89" s="839"/>
      <c r="W89" s="839"/>
      <c r="X89" s="839"/>
      <c r="Y89" s="839"/>
      <c r="Z89" s="839"/>
      <c r="AA89" s="839"/>
      <c r="AB89" s="839"/>
      <c r="AD89" s="199"/>
      <c r="AE89" s="205"/>
      <c r="AH89" s="185"/>
    </row>
    <row r="90" spans="2:38" ht="9" customHeight="1" x14ac:dyDescent="0.2">
      <c r="M90" s="181"/>
      <c r="O90" s="181"/>
      <c r="AD90" s="199"/>
      <c r="AE90" s="205"/>
      <c r="AH90" s="185"/>
    </row>
    <row r="91" spans="2:38" ht="19.5" customHeight="1" x14ac:dyDescent="0.2">
      <c r="B91" s="201" t="str">
        <f>HLOOKUP('4 Language'!$B$2,'4 Language'!$C$12:$H$307,277)</f>
        <v>Materialzuführung</v>
      </c>
      <c r="C91" s="202"/>
      <c r="D91" s="202"/>
      <c r="E91" s="202"/>
      <c r="F91" s="202"/>
      <c r="G91" s="202"/>
      <c r="H91" s="202"/>
      <c r="I91" s="202"/>
      <c r="J91" s="202"/>
      <c r="K91" s="202"/>
      <c r="L91" s="202"/>
      <c r="M91" s="203"/>
      <c r="N91" s="204" t="str">
        <f>HLOOKUP('4 Language'!$B$2,'4 Language'!$C$12:$H$307,252)</f>
        <v xml:space="preserve">Komponente   </v>
      </c>
      <c r="O91" s="203">
        <v>1</v>
      </c>
      <c r="P91" s="202"/>
      <c r="Q91" s="202"/>
      <c r="R91" s="202"/>
      <c r="S91" s="202"/>
      <c r="T91" s="204" t="str">
        <f>HLOOKUP('4 Language'!$B$2,'4 Language'!$C$12:$H$307,252)</f>
        <v xml:space="preserve">Komponente   </v>
      </c>
      <c r="U91" s="203">
        <v>2</v>
      </c>
      <c r="V91" s="202"/>
      <c r="W91" s="202"/>
      <c r="X91" s="202"/>
      <c r="Y91" s="202"/>
      <c r="Z91" s="204" t="str">
        <f>HLOOKUP('4 Language'!$B$2,'4 Language'!$C$12:$H$307,252)</f>
        <v xml:space="preserve">Komponente   </v>
      </c>
      <c r="AA91" s="203">
        <v>3</v>
      </c>
      <c r="AB91" s="202"/>
      <c r="AD91" s="199"/>
      <c r="AE91" s="205"/>
      <c r="AH91" s="185"/>
      <c r="AI91" s="422" t="s">
        <v>1589</v>
      </c>
      <c r="AJ91" s="422" t="s">
        <v>1590</v>
      </c>
      <c r="AK91" s="424" t="b">
        <v>0</v>
      </c>
      <c r="AL91" s="424" t="b">
        <f>FALSE</f>
        <v>0</v>
      </c>
    </row>
    <row r="92" spans="2:38" ht="20.45" customHeight="1" x14ac:dyDescent="0.2">
      <c r="B92" s="452" t="str">
        <f>(HLOOKUP('4 Language'!$B$2,'4 Language'!$C$12:$H$307,85))</f>
        <v>Findet eine Materialeingangsprüfung statt?</v>
      </c>
      <c r="C92" s="440"/>
      <c r="D92" s="440"/>
      <c r="E92" s="440"/>
      <c r="F92" s="440"/>
      <c r="G92" s="440"/>
      <c r="H92" s="440"/>
      <c r="I92" s="440"/>
      <c r="J92" s="440"/>
      <c r="K92" s="440"/>
      <c r="L92" s="450" t="str">
        <f>HLOOKUP('4 Language'!$B$2,'4 Language'!$C$12:$H$307,9)</f>
        <v>ja</v>
      </c>
      <c r="M92" s="451"/>
      <c r="N92" s="450" t="str">
        <f>HLOOKUP('4 Language'!$B$2,'4 Language'!$C$12:$H$307,10)</f>
        <v>nein</v>
      </c>
      <c r="O92" s="451"/>
      <c r="P92" s="440"/>
      <c r="Q92" s="440"/>
      <c r="R92" s="450" t="str">
        <f>HLOOKUP('4 Language'!$B$2,'4 Language'!$C$12:$H$307,9)</f>
        <v>ja</v>
      </c>
      <c r="S92" s="451"/>
      <c r="T92" s="450" t="str">
        <f>HLOOKUP('4 Language'!$B$2,'4 Language'!$C$12:$H$307,10)</f>
        <v>nein</v>
      </c>
      <c r="U92" s="451"/>
      <c r="V92" s="440"/>
      <c r="W92" s="440"/>
      <c r="X92" s="450" t="str">
        <f>HLOOKUP('4 Language'!$B$2,'4 Language'!$C$12:$H$307,9)</f>
        <v>ja</v>
      </c>
      <c r="Y92" s="451"/>
      <c r="Z92" s="450" t="str">
        <f>HLOOKUP('4 Language'!$B$2,'4 Language'!$C$12:$H$307,10)</f>
        <v>nein</v>
      </c>
      <c r="AA92" s="451"/>
      <c r="AB92" s="440"/>
      <c r="AD92" s="199"/>
      <c r="AE92" s="205"/>
      <c r="AH92" s="185"/>
      <c r="AI92" s="422" t="s">
        <v>1591</v>
      </c>
      <c r="AJ92" s="422" t="s">
        <v>1592</v>
      </c>
      <c r="AK92" s="424" t="b">
        <f>FALSE</f>
        <v>0</v>
      </c>
      <c r="AL92" s="424" t="b">
        <f>FALSE</f>
        <v>0</v>
      </c>
    </row>
    <row r="93" spans="2:38" ht="19.5" customHeight="1" x14ac:dyDescent="0.2">
      <c r="B93" s="441" t="str">
        <f>(HLOOKUP('4 Language'!$B$2,'4 Language'!$C$12:$H$307,96))</f>
        <v>Bitte kurz beschreiben.</v>
      </c>
      <c r="C93" s="446"/>
      <c r="D93" s="446"/>
      <c r="E93" s="441"/>
      <c r="F93" s="441"/>
      <c r="G93" s="441"/>
      <c r="H93" s="441"/>
      <c r="I93" s="441"/>
      <c r="J93" s="444"/>
      <c r="K93" s="442"/>
      <c r="L93" s="662"/>
      <c r="M93" s="662"/>
      <c r="N93" s="662"/>
      <c r="O93" s="662"/>
      <c r="P93" s="662"/>
      <c r="Q93" s="662"/>
      <c r="R93" s="662"/>
      <c r="S93" s="662"/>
      <c r="T93" s="662"/>
      <c r="U93" s="662"/>
      <c r="V93" s="662"/>
      <c r="W93" s="662"/>
      <c r="X93" s="662"/>
      <c r="Y93" s="662"/>
      <c r="Z93" s="662"/>
      <c r="AA93" s="662"/>
      <c r="AB93" s="662"/>
      <c r="AD93" s="199"/>
      <c r="AE93" s="205"/>
      <c r="AH93" s="185"/>
      <c r="AI93" s="422" t="s">
        <v>1593</v>
      </c>
      <c r="AJ93" s="422" t="s">
        <v>1594</v>
      </c>
      <c r="AK93" s="424" t="b">
        <f>FALSE</f>
        <v>0</v>
      </c>
      <c r="AL93" s="424" t="b">
        <f>FALSE</f>
        <v>0</v>
      </c>
    </row>
    <row r="94" spans="2:38" ht="20.45" customHeight="1" x14ac:dyDescent="0.2">
      <c r="B94" s="441" t="str">
        <f>"* "&amp;(HLOOKUP('4 Language'!$B$2,'4 Language'!$C$12:$H$307,86))</f>
        <v>* Materialvortrocknung?</v>
      </c>
      <c r="C94" s="446"/>
      <c r="D94" s="446"/>
      <c r="E94" s="441"/>
      <c r="F94" s="441"/>
      <c r="G94" s="441"/>
      <c r="H94" s="441"/>
      <c r="I94" s="441"/>
      <c r="J94" s="444"/>
      <c r="K94" s="442"/>
      <c r="L94" s="447" t="str">
        <f>HLOOKUP('4 Language'!$B$2,'4 Language'!$C$12:$H$307,9)</f>
        <v>ja</v>
      </c>
      <c r="M94" s="446"/>
      <c r="N94" s="447" t="str">
        <f>HLOOKUP('4 Language'!$B$2,'4 Language'!$C$12:$H$307,10)</f>
        <v>nein</v>
      </c>
      <c r="O94" s="446"/>
      <c r="P94" s="442"/>
      <c r="Q94" s="442"/>
      <c r="R94" s="447" t="str">
        <f>HLOOKUP('4 Language'!$B$2,'4 Language'!$C$12:$H$307,9)</f>
        <v>ja</v>
      </c>
      <c r="S94" s="446"/>
      <c r="T94" s="447" t="str">
        <f>HLOOKUP('4 Language'!$B$2,'4 Language'!$C$12:$H$307,10)</f>
        <v>nein</v>
      </c>
      <c r="U94" s="446"/>
      <c r="V94" s="442"/>
      <c r="W94" s="442"/>
      <c r="X94" s="447" t="str">
        <f>HLOOKUP('4 Language'!$B$2,'4 Language'!$C$12:$H$307,9)</f>
        <v>ja</v>
      </c>
      <c r="Y94" s="446"/>
      <c r="Z94" s="447" t="str">
        <f>HLOOKUP('4 Language'!$B$2,'4 Language'!$C$12:$H$307,10)</f>
        <v>nein</v>
      </c>
      <c r="AA94" s="446"/>
      <c r="AB94" s="442"/>
      <c r="AD94" s="199"/>
      <c r="AE94" s="205"/>
      <c r="AH94" s="185"/>
      <c r="AI94" s="422" t="s">
        <v>1595</v>
      </c>
      <c r="AJ94" s="422" t="s">
        <v>1600</v>
      </c>
      <c r="AK94" s="424" t="b">
        <f>FALSE</f>
        <v>0</v>
      </c>
      <c r="AL94" s="424" t="b">
        <f>FALSE</f>
        <v>0</v>
      </c>
    </row>
    <row r="95" spans="2:38" ht="19.5" customHeight="1" x14ac:dyDescent="0.2">
      <c r="B95" s="441" t="str">
        <f>"* "&amp;(HLOOKUP('4 Language'!$B$2,'4 Language'!$C$12:$H$307,87))</f>
        <v>* Typ des Trockenofens</v>
      </c>
      <c r="C95" s="446"/>
      <c r="D95" s="446"/>
      <c r="E95" s="441"/>
      <c r="F95" s="441"/>
      <c r="G95" s="441"/>
      <c r="H95" s="441"/>
      <c r="I95" s="441"/>
      <c r="J95" s="444"/>
      <c r="K95" s="442"/>
      <c r="L95" s="662"/>
      <c r="M95" s="662"/>
      <c r="N95" s="662"/>
      <c r="O95" s="662"/>
      <c r="P95" s="662"/>
      <c r="Q95" s="442"/>
      <c r="R95" s="662"/>
      <c r="S95" s="662"/>
      <c r="T95" s="662"/>
      <c r="U95" s="662"/>
      <c r="V95" s="662"/>
      <c r="W95" s="442"/>
      <c r="X95" s="662"/>
      <c r="Y95" s="662"/>
      <c r="Z95" s="662"/>
      <c r="AA95" s="662"/>
      <c r="AB95" s="662"/>
      <c r="AD95" s="199"/>
      <c r="AE95" s="205"/>
      <c r="AH95" s="185"/>
      <c r="AI95" s="422" t="s">
        <v>1596</v>
      </c>
      <c r="AJ95" s="422" t="s">
        <v>1599</v>
      </c>
      <c r="AK95" s="424" t="b">
        <f>FALSE</f>
        <v>0</v>
      </c>
      <c r="AL95" s="424" t="b">
        <f>FALSE</f>
        <v>0</v>
      </c>
    </row>
    <row r="96" spans="2:38" ht="19.5" customHeight="1" x14ac:dyDescent="0.2">
      <c r="B96" s="441" t="str">
        <f>"* "&amp;(HLOOKUP('4 Language'!$B$2,'4 Language'!$C$12:$H$307,88))</f>
        <v>* Trockentemperatur</v>
      </c>
      <c r="C96" s="442"/>
      <c r="D96" s="442"/>
      <c r="E96" s="442"/>
      <c r="F96" s="442"/>
      <c r="G96" s="442"/>
      <c r="H96" s="442"/>
      <c r="I96" s="442"/>
      <c r="J96" s="442"/>
      <c r="K96" s="442"/>
      <c r="L96" s="442"/>
      <c r="M96" s="455"/>
      <c r="N96" s="837"/>
      <c r="O96" s="837"/>
      <c r="P96" s="445" t="s">
        <v>1500</v>
      </c>
      <c r="Q96" s="442"/>
      <c r="R96" s="442"/>
      <c r="S96" s="442"/>
      <c r="T96" s="837"/>
      <c r="U96" s="837"/>
      <c r="V96" s="445" t="s">
        <v>1500</v>
      </c>
      <c r="W96" s="442"/>
      <c r="X96" s="442"/>
      <c r="Y96" s="442"/>
      <c r="Z96" s="837"/>
      <c r="AA96" s="837"/>
      <c r="AB96" s="445" t="s">
        <v>1500</v>
      </c>
      <c r="AD96" s="199"/>
      <c r="AE96" s="205"/>
      <c r="AH96" s="185"/>
      <c r="AI96" s="422" t="s">
        <v>1597</v>
      </c>
      <c r="AJ96" s="422" t="s">
        <v>1598</v>
      </c>
      <c r="AK96" s="424" t="b">
        <f>FALSE</f>
        <v>0</v>
      </c>
      <c r="AL96" s="424" t="b">
        <f>FALSE</f>
        <v>0</v>
      </c>
    </row>
    <row r="97" spans="2:40" ht="19.5" customHeight="1" x14ac:dyDescent="0.2">
      <c r="B97" s="441" t="str">
        <f>"* "&amp;(HLOOKUP('4 Language'!$B$2,'4 Language'!$C$12:$H$307,89))</f>
        <v>* Trockenzeit</v>
      </c>
      <c r="C97" s="442"/>
      <c r="D97" s="442"/>
      <c r="E97" s="442"/>
      <c r="F97" s="442"/>
      <c r="G97" s="442"/>
      <c r="H97" s="442"/>
      <c r="I97" s="442"/>
      <c r="J97" s="442"/>
      <c r="K97" s="442"/>
      <c r="L97" s="442"/>
      <c r="M97" s="442"/>
      <c r="N97" s="837"/>
      <c r="O97" s="837"/>
      <c r="P97" s="445" t="s">
        <v>302</v>
      </c>
      <c r="Q97" s="442"/>
      <c r="R97" s="442"/>
      <c r="S97" s="442"/>
      <c r="T97" s="837"/>
      <c r="U97" s="837"/>
      <c r="V97" s="445" t="s">
        <v>302</v>
      </c>
      <c r="W97" s="442"/>
      <c r="X97" s="442"/>
      <c r="Y97" s="442"/>
      <c r="Z97" s="837"/>
      <c r="AA97" s="837"/>
      <c r="AB97" s="445" t="s">
        <v>302</v>
      </c>
      <c r="AD97" s="199"/>
      <c r="AH97" s="185"/>
      <c r="AI97" s="422" t="s">
        <v>1601</v>
      </c>
      <c r="AJ97" s="422" t="s">
        <v>1602</v>
      </c>
      <c r="AK97" s="424" t="b">
        <v>0</v>
      </c>
      <c r="AL97" s="424" t="b">
        <f>FALSE</f>
        <v>0</v>
      </c>
    </row>
    <row r="98" spans="2:40" ht="20.45" customHeight="1" x14ac:dyDescent="0.2">
      <c r="B98" s="441" t="str">
        <f>"* "&amp;(HLOOKUP('4 Language'!$B$2,'4 Language'!$C$12:$H$307,90))</f>
        <v>* Wird der Restfeuchtegehalt ermittelt?</v>
      </c>
      <c r="C98" s="442"/>
      <c r="D98" s="442"/>
      <c r="E98" s="442"/>
      <c r="F98" s="442"/>
      <c r="G98" s="442"/>
      <c r="H98" s="442"/>
      <c r="I98" s="442"/>
      <c r="J98" s="442"/>
      <c r="K98" s="442"/>
      <c r="L98" s="447" t="str">
        <f>HLOOKUP('4 Language'!$B$2,'4 Language'!$C$12:$H$307,9)</f>
        <v>ja</v>
      </c>
      <c r="M98" s="446"/>
      <c r="N98" s="447" t="str">
        <f>HLOOKUP('4 Language'!$B$2,'4 Language'!$C$12:$H$307,10)</f>
        <v>nein</v>
      </c>
      <c r="O98" s="446"/>
      <c r="P98" s="442"/>
      <c r="Q98" s="442"/>
      <c r="R98" s="447" t="str">
        <f>HLOOKUP('4 Language'!$B$2,'4 Language'!$C$12:$H$307,9)</f>
        <v>ja</v>
      </c>
      <c r="S98" s="446"/>
      <c r="T98" s="447" t="str">
        <f>HLOOKUP('4 Language'!$B$2,'4 Language'!$C$12:$H$307,10)</f>
        <v>nein</v>
      </c>
      <c r="U98" s="446"/>
      <c r="V98" s="442"/>
      <c r="W98" s="442"/>
      <c r="X98" s="447" t="str">
        <f>HLOOKUP('4 Language'!$B$2,'4 Language'!$C$12:$H$307,9)</f>
        <v>ja</v>
      </c>
      <c r="Y98" s="446"/>
      <c r="Z98" s="447" t="str">
        <f>HLOOKUP('4 Language'!$B$2,'4 Language'!$C$12:$H$307,10)</f>
        <v>nein</v>
      </c>
      <c r="AA98" s="446"/>
      <c r="AB98" s="442"/>
      <c r="AD98" s="199"/>
      <c r="AH98" s="185"/>
      <c r="AI98" s="422" t="s">
        <v>1606</v>
      </c>
      <c r="AJ98" s="422" t="s">
        <v>1603</v>
      </c>
      <c r="AK98" s="424" t="b">
        <f>FALSE</f>
        <v>0</v>
      </c>
      <c r="AL98" s="424" t="b">
        <f>FALSE</f>
        <v>0</v>
      </c>
    </row>
    <row r="99" spans="2:40" ht="20.45" customHeight="1" x14ac:dyDescent="0.2">
      <c r="B99" s="441" t="str">
        <f>"* "&amp;HLOOKUP('4 Language'!$B$2,'4 Language'!$C$12:$H$307,279)</f>
        <v xml:space="preserve">* Maximal zulässige Restfeuchte </v>
      </c>
      <c r="C99" s="442"/>
      <c r="D99" s="442"/>
      <c r="E99" s="442"/>
      <c r="F99" s="442"/>
      <c r="G99" s="442"/>
      <c r="H99" s="442"/>
      <c r="I99" s="442"/>
      <c r="J99" s="442"/>
      <c r="K99" s="442"/>
      <c r="L99" s="447"/>
      <c r="M99" s="446"/>
      <c r="N99" s="768"/>
      <c r="O99" s="768"/>
      <c r="P99" s="442" t="s">
        <v>136</v>
      </c>
      <c r="Q99" s="442"/>
      <c r="R99" s="447"/>
      <c r="S99" s="446"/>
      <c r="T99" s="768"/>
      <c r="U99" s="768"/>
      <c r="V99" s="442" t="s">
        <v>136</v>
      </c>
      <c r="W99" s="442"/>
      <c r="X99" s="447"/>
      <c r="Y99" s="446"/>
      <c r="Z99" s="768"/>
      <c r="AA99" s="768"/>
      <c r="AB99" s="442" t="s">
        <v>136</v>
      </c>
      <c r="AD99" s="199"/>
      <c r="AH99" s="185"/>
      <c r="AI99" s="422" t="s">
        <v>1605</v>
      </c>
      <c r="AJ99" s="422" t="s">
        <v>1604</v>
      </c>
      <c r="AK99" s="424" t="b">
        <f>FALSE</f>
        <v>0</v>
      </c>
      <c r="AL99" s="424" t="b">
        <f>FALSE</f>
        <v>0</v>
      </c>
    </row>
    <row r="100" spans="2:40" ht="20.45" customHeight="1" x14ac:dyDescent="0.2">
      <c r="B100" s="441" t="str">
        <f>"* "&amp;(HLOOKUP('4 Language'!$B$2,'4 Language'!$C$12:$H$307,91))</f>
        <v>* Additiv / Masterbatch im Einsatz?</v>
      </c>
      <c r="C100" s="442"/>
      <c r="D100" s="442"/>
      <c r="E100" s="442"/>
      <c r="F100" s="442"/>
      <c r="G100" s="442"/>
      <c r="H100" s="442"/>
      <c r="I100" s="442"/>
      <c r="J100" s="442"/>
      <c r="K100" s="442"/>
      <c r="L100" s="447"/>
      <c r="M100" s="446"/>
      <c r="N100" s="447"/>
      <c r="O100" s="446"/>
      <c r="P100" s="442"/>
      <c r="Q100" s="442"/>
      <c r="R100" s="447"/>
      <c r="S100" s="446"/>
      <c r="T100" s="447"/>
      <c r="U100" s="446"/>
      <c r="V100" s="442"/>
      <c r="W100" s="442"/>
      <c r="X100" s="447"/>
      <c r="Y100" s="446"/>
      <c r="Z100" s="447"/>
      <c r="AA100" s="446"/>
      <c r="AB100" s="442"/>
      <c r="AD100" s="199"/>
      <c r="AE100" s="205"/>
      <c r="AH100" s="185"/>
      <c r="AI100" s="425"/>
      <c r="AJ100" s="425"/>
      <c r="AK100" s="425"/>
    </row>
    <row r="101" spans="2:40" ht="20.45" customHeight="1" x14ac:dyDescent="0.2">
      <c r="B101" s="441" t="str">
        <f>"* "&amp;(HLOOKUP('4 Language'!$B$2,'4 Language'!$C$12:$H$307,93))</f>
        <v>* Batchanteil</v>
      </c>
      <c r="C101" s="442"/>
      <c r="D101" s="442"/>
      <c r="E101" s="442"/>
      <c r="F101" s="442"/>
      <c r="G101" s="442"/>
      <c r="H101" s="442"/>
      <c r="I101" s="442"/>
      <c r="J101" s="447" t="str">
        <f>HLOOKUP('4 Language'!$B$2,'4 Language'!$C$12:$H$400,306)</f>
        <v>Anteil I Zugabe über</v>
      </c>
      <c r="K101" s="442"/>
      <c r="L101" s="664"/>
      <c r="M101" s="455" t="s">
        <v>218</v>
      </c>
      <c r="N101" s="447"/>
      <c r="O101" s="446"/>
      <c r="P101" s="442"/>
      <c r="Q101" s="442"/>
      <c r="R101" s="664"/>
      <c r="S101" s="455" t="s">
        <v>218</v>
      </c>
      <c r="T101" s="447"/>
      <c r="U101" s="446"/>
      <c r="V101" s="442"/>
      <c r="W101" s="442"/>
      <c r="X101" s="664"/>
      <c r="Y101" s="455" t="s">
        <v>218</v>
      </c>
      <c r="Z101" s="447"/>
      <c r="AA101" s="446"/>
      <c r="AB101" s="442"/>
      <c r="AD101" s="199"/>
      <c r="AE101" s="205"/>
      <c r="AH101" s="185"/>
      <c r="AI101" s="425"/>
      <c r="AJ101" s="425"/>
      <c r="AK101" s="425"/>
    </row>
    <row r="102" spans="2:40" ht="20.45" customHeight="1" x14ac:dyDescent="0.2">
      <c r="B102" s="441" t="str">
        <f>"* "&amp;(HLOOKUP('4 Language'!$B$2,'4 Language'!$C$12:$H$307,94))</f>
        <v>* Materialbasis Batch</v>
      </c>
      <c r="C102" s="442"/>
      <c r="D102" s="442"/>
      <c r="E102" s="442"/>
      <c r="F102" s="442"/>
      <c r="G102" s="442"/>
      <c r="H102" s="442"/>
      <c r="I102" s="442"/>
      <c r="J102" s="442"/>
      <c r="K102" s="442"/>
      <c r="L102" s="662"/>
      <c r="M102" s="662"/>
      <c r="N102" s="662"/>
      <c r="O102" s="662"/>
      <c r="P102" s="662"/>
      <c r="Q102" s="442"/>
      <c r="R102" s="662"/>
      <c r="S102" s="662"/>
      <c r="T102" s="662"/>
      <c r="U102" s="662"/>
      <c r="V102" s="662"/>
      <c r="W102" s="442"/>
      <c r="X102" s="662"/>
      <c r="Y102" s="662"/>
      <c r="Z102" s="662"/>
      <c r="AA102" s="662"/>
      <c r="AB102" s="662"/>
      <c r="AD102" s="199"/>
      <c r="AE102" s="205"/>
      <c r="AH102" s="185"/>
      <c r="AI102" s="425"/>
      <c r="AJ102" s="425"/>
      <c r="AK102" s="425"/>
    </row>
    <row r="103" spans="2:40" ht="20.45" customHeight="1" x14ac:dyDescent="0.2">
      <c r="B103" s="441" t="str">
        <f>"* "&amp;(HLOOKUP('4 Language'!$B$2,'4 Language'!$C$12:$H$307,293))</f>
        <v>* Mischungsanteil bei Einsatz von Mahlgut</v>
      </c>
      <c r="N103" s="768"/>
      <c r="O103" s="768"/>
      <c r="P103" s="442" t="s">
        <v>136</v>
      </c>
      <c r="T103" s="768"/>
      <c r="U103" s="768"/>
      <c r="V103" s="442" t="s">
        <v>136</v>
      </c>
      <c r="Z103" s="768"/>
      <c r="AA103" s="768"/>
      <c r="AB103" s="442" t="s">
        <v>136</v>
      </c>
      <c r="AD103" s="199"/>
      <c r="AE103" s="205"/>
      <c r="AH103" s="185"/>
      <c r="AI103" s="425"/>
      <c r="AJ103" s="425"/>
      <c r="AK103" s="425"/>
    </row>
    <row r="104" spans="2:40" ht="20.45" customHeight="1" x14ac:dyDescent="0.2">
      <c r="B104" s="441" t="str">
        <f>"* "&amp;(HLOOKUP('4 Language'!$B$2,'4 Language'!$C$12:$H$307,95))</f>
        <v>* Materialzuführung</v>
      </c>
      <c r="C104" s="442"/>
      <c r="D104" s="442"/>
      <c r="E104" s="442"/>
      <c r="F104" s="442"/>
      <c r="G104" s="442"/>
      <c r="H104" s="442"/>
      <c r="I104" s="442"/>
      <c r="J104" s="442"/>
      <c r="K104" s="442"/>
      <c r="L104" s="665"/>
      <c r="M104" s="666"/>
      <c r="N104" s="665"/>
      <c r="O104" s="667"/>
      <c r="P104" s="665"/>
      <c r="Q104" s="665"/>
      <c r="R104" s="665"/>
      <c r="S104" s="665"/>
      <c r="T104" s="665"/>
      <c r="U104" s="665"/>
      <c r="V104" s="665"/>
      <c r="W104" s="665"/>
      <c r="X104" s="665"/>
      <c r="Y104" s="665"/>
      <c r="Z104" s="665"/>
      <c r="AA104" s="665"/>
      <c r="AB104" s="665"/>
      <c r="AD104" s="199"/>
      <c r="AE104" s="205"/>
      <c r="AH104" s="185"/>
      <c r="AI104" s="425"/>
      <c r="AJ104" s="425"/>
    </row>
    <row r="105" spans="2:40" ht="9" customHeight="1" x14ac:dyDescent="0.2">
      <c r="I105" s="182"/>
      <c r="J105" s="608"/>
      <c r="K105" s="608"/>
      <c r="L105" s="608"/>
      <c r="M105" s="608"/>
      <c r="N105" s="608"/>
      <c r="O105" s="608"/>
      <c r="P105" s="608"/>
      <c r="Q105" s="608"/>
      <c r="R105" s="608"/>
      <c r="S105" s="608"/>
      <c r="T105" s="608"/>
      <c r="U105" s="608"/>
      <c r="V105" s="608"/>
      <c r="W105" s="608"/>
      <c r="X105" s="608"/>
      <c r="Y105" s="608"/>
      <c r="Z105" s="608"/>
      <c r="AA105" s="608"/>
      <c r="AB105" s="182"/>
      <c r="AE105" s="205"/>
      <c r="AH105" s="185"/>
      <c r="AI105" s="425"/>
      <c r="AJ105" s="425"/>
    </row>
    <row r="106" spans="2:40" ht="20.25" customHeight="1" x14ac:dyDescent="0.2">
      <c r="B106" s="769" t="str">
        <f>HLOOKUP('4 Language'!$B$2,'4 Language'!$C$12:$H$320,307)</f>
        <v xml:space="preserve">Prozessüberwachung </v>
      </c>
      <c r="C106" s="769"/>
      <c r="D106" s="769"/>
      <c r="E106" s="769"/>
      <c r="F106" s="769"/>
      <c r="J106" s="773" t="str">
        <f>HLOOKUP('4 Language'!$B$2,'4 Language'!$C$12:$H$307,295)</f>
        <v>Prozessüberwachung erfolgt über folgende Parameter: 
hier bitte entsprechnede Auswahl treffen, die geplanten bzw. eingestellten Toleranzen eintragen und im Rahmen der FS mit Brose abstimmen bzw. zur Prozessfreigabe abgleichen.</v>
      </c>
      <c r="K106" s="773"/>
      <c r="L106" s="773"/>
      <c r="M106" s="773"/>
      <c r="N106" s="773"/>
      <c r="O106" s="773"/>
      <c r="P106" s="773"/>
      <c r="Q106" s="773"/>
      <c r="R106" s="773"/>
      <c r="S106" s="773"/>
      <c r="T106" s="773"/>
      <c r="U106" s="773"/>
      <c r="V106" s="773"/>
      <c r="W106" s="773"/>
      <c r="X106" s="773"/>
      <c r="Y106" s="773"/>
      <c r="Z106" s="773"/>
      <c r="AA106" s="773"/>
      <c r="AE106" s="205"/>
      <c r="AH106" s="185"/>
      <c r="AI106" s="422"/>
      <c r="AJ106" s="422"/>
    </row>
    <row r="107" spans="2:40" ht="20.45" customHeight="1" x14ac:dyDescent="0.2">
      <c r="B107" s="770"/>
      <c r="C107" s="770"/>
      <c r="D107" s="770"/>
      <c r="E107" s="770"/>
      <c r="F107" s="770"/>
      <c r="G107" s="609"/>
      <c r="H107" s="609"/>
      <c r="I107" s="607"/>
      <c r="J107" s="774"/>
      <c r="K107" s="774"/>
      <c r="L107" s="774"/>
      <c r="M107" s="774"/>
      <c r="N107" s="774"/>
      <c r="O107" s="774"/>
      <c r="P107" s="774"/>
      <c r="Q107" s="774"/>
      <c r="R107" s="774"/>
      <c r="S107" s="774"/>
      <c r="T107" s="774"/>
      <c r="U107" s="774"/>
      <c r="V107" s="774"/>
      <c r="W107" s="774"/>
      <c r="X107" s="774"/>
      <c r="Y107" s="774"/>
      <c r="Z107" s="774"/>
      <c r="AA107" s="774"/>
      <c r="AB107" s="607"/>
      <c r="AE107" s="205"/>
      <c r="AH107" s="185"/>
      <c r="AI107" s="422"/>
      <c r="AJ107" s="422"/>
    </row>
    <row r="108" spans="2:40" ht="20.25" customHeight="1" x14ac:dyDescent="0.2">
      <c r="B108" s="606"/>
      <c r="C108" s="202"/>
      <c r="D108" s="202"/>
      <c r="E108" s="202"/>
      <c r="F108" s="202"/>
      <c r="G108" s="202"/>
      <c r="H108" s="202"/>
      <c r="I108" s="202"/>
      <c r="J108" s="202"/>
      <c r="K108" s="202"/>
      <c r="L108" s="202"/>
      <c r="M108" s="203"/>
      <c r="N108" s="204" t="str">
        <f>HLOOKUP('4 Language'!$B$2,'4 Language'!$C$12:$H$307,252)</f>
        <v xml:space="preserve">Komponente   </v>
      </c>
      <c r="O108" s="203">
        <v>1</v>
      </c>
      <c r="P108" s="202"/>
      <c r="Q108" s="202"/>
      <c r="R108" s="202"/>
      <c r="S108" s="202"/>
      <c r="T108" s="204" t="str">
        <f>HLOOKUP('4 Language'!$B$2,'4 Language'!$C$12:$H$307,252)</f>
        <v xml:space="preserve">Komponente   </v>
      </c>
      <c r="U108" s="203">
        <v>2</v>
      </c>
      <c r="V108" s="202"/>
      <c r="W108" s="202"/>
      <c r="X108" s="202"/>
      <c r="Y108" s="202"/>
      <c r="Z108" s="204" t="str">
        <f>HLOOKUP('4 Language'!$B$2,'4 Language'!$C$12:$H$307,252)</f>
        <v xml:space="preserve">Komponente   </v>
      </c>
      <c r="AA108" s="203">
        <v>3</v>
      </c>
      <c r="AB108" s="202"/>
      <c r="AE108" s="205"/>
      <c r="AH108" s="185"/>
      <c r="AI108" s="422"/>
      <c r="AJ108" s="422"/>
    </row>
    <row r="109" spans="2:40" ht="20.25" customHeight="1" x14ac:dyDescent="0.2">
      <c r="B109" s="441"/>
      <c r="C109" s="442"/>
      <c r="D109" s="442"/>
      <c r="E109" s="442"/>
      <c r="F109" s="442"/>
      <c r="G109" s="442"/>
      <c r="H109" s="442"/>
      <c r="I109" s="442"/>
      <c r="J109" s="442"/>
      <c r="K109" s="442"/>
      <c r="L109" s="768"/>
      <c r="M109" s="768"/>
      <c r="N109" s="455" t="str">
        <f t="shared" ref="N109:O111" si="0">AK109</f>
        <v xml:space="preserve"> xx</v>
      </c>
      <c r="O109" s="612" t="str">
        <f t="shared" si="0"/>
        <v>*(?)</v>
      </c>
      <c r="P109" s="663"/>
      <c r="Q109" s="605"/>
      <c r="R109" s="772"/>
      <c r="S109" s="772"/>
      <c r="T109" s="455" t="str">
        <f t="shared" ref="T109:U111" si="1">AK109</f>
        <v xml:space="preserve"> xx</v>
      </c>
      <c r="U109" s="612" t="str">
        <f t="shared" si="1"/>
        <v>*(?)</v>
      </c>
      <c r="V109" s="663"/>
      <c r="W109" s="605"/>
      <c r="X109" s="768"/>
      <c r="Y109" s="768"/>
      <c r="Z109" s="455" t="str">
        <f>AK109</f>
        <v xml:space="preserve"> xx</v>
      </c>
      <c r="AA109" s="612" t="str">
        <f>AL109</f>
        <v>*(?)</v>
      </c>
      <c r="AB109" s="663"/>
      <c r="AE109" s="205"/>
      <c r="AH109" s="185"/>
      <c r="AI109" s="418">
        <v>1</v>
      </c>
      <c r="AJ109" s="422"/>
      <c r="AK109" s="613" t="str">
        <f>IF(AI109=1," xx",IF(OR(AI109=3,AI109=4,AI109=9)," s",IF(OR(AI109=5,AI109=6)," bar",IF(OR(AI109=7,AI109=8),P39,IF(AI109=10," Nm","--")))))</f>
        <v xml:space="preserve"> xx</v>
      </c>
      <c r="AL109" s="614" t="str">
        <f>IF(AI109=1,"*(?)",IF(AI109=3,"*+","*±"))</f>
        <v>*(?)</v>
      </c>
      <c r="AM109" s="615" t="s">
        <v>1880</v>
      </c>
      <c r="AN109" s="189" t="s">
        <v>1882</v>
      </c>
    </row>
    <row r="110" spans="2:40" ht="20.25" customHeight="1" x14ac:dyDescent="0.2">
      <c r="B110" s="441"/>
      <c r="C110" s="442"/>
      <c r="D110" s="442"/>
      <c r="E110" s="442"/>
      <c r="F110" s="442"/>
      <c r="G110" s="442"/>
      <c r="H110" s="442"/>
      <c r="I110" s="442"/>
      <c r="J110" s="442"/>
      <c r="K110" s="442"/>
      <c r="L110" s="768"/>
      <c r="M110" s="768"/>
      <c r="N110" s="455" t="str">
        <f t="shared" si="0"/>
        <v xml:space="preserve"> xx</v>
      </c>
      <c r="O110" s="612" t="str">
        <f t="shared" si="0"/>
        <v>*(?)</v>
      </c>
      <c r="P110" s="663"/>
      <c r="Q110" s="605"/>
      <c r="R110" s="771"/>
      <c r="S110" s="771"/>
      <c r="T110" s="455" t="str">
        <f t="shared" si="1"/>
        <v xml:space="preserve"> xx</v>
      </c>
      <c r="U110" s="612" t="str">
        <f t="shared" si="1"/>
        <v>*(?)</v>
      </c>
      <c r="V110" s="663"/>
      <c r="W110" s="605"/>
      <c r="X110" s="768"/>
      <c r="Y110" s="768"/>
      <c r="Z110" s="455" t="str">
        <f t="shared" ref="Z110:Z111" si="2">AK110</f>
        <v xml:space="preserve"> xx</v>
      </c>
      <c r="AA110" s="612" t="str">
        <f>AL110</f>
        <v>*(?)</v>
      </c>
      <c r="AB110" s="663"/>
      <c r="AH110" s="185"/>
      <c r="AI110" s="418">
        <v>1</v>
      </c>
      <c r="AJ110" s="422"/>
      <c r="AK110" s="613" t="str">
        <f>IF(AI110=1," xx",IF(OR(AI110=3,AI110=4,AI110=9)," s",IF(OR(AI110=5,AI110=6)," bar",IF(OR(AI110=7,AI110=8),V39,IF(AI110=10," Nm","--")))))</f>
        <v xml:space="preserve"> xx</v>
      </c>
      <c r="AL110" s="614" t="str">
        <f t="shared" ref="AL110:AL111" si="3">IF(AI110=1,"*(?)",IF(AI110=3,"*+","*±"))</f>
        <v>*(?)</v>
      </c>
      <c r="AM110" s="615" t="s">
        <v>1881</v>
      </c>
      <c r="AN110" s="189" t="s">
        <v>1883</v>
      </c>
    </row>
    <row r="111" spans="2:40" ht="20.25" customHeight="1" x14ac:dyDescent="0.2">
      <c r="B111" s="441"/>
      <c r="C111" s="442"/>
      <c r="D111" s="442"/>
      <c r="E111" s="442"/>
      <c r="F111" s="442"/>
      <c r="G111" s="442"/>
      <c r="H111" s="442"/>
      <c r="I111" s="442"/>
      <c r="J111" s="442"/>
      <c r="K111" s="442"/>
      <c r="L111" s="768"/>
      <c r="M111" s="768"/>
      <c r="N111" s="455" t="str">
        <f t="shared" si="0"/>
        <v xml:space="preserve"> xx</v>
      </c>
      <c r="O111" s="612" t="str">
        <f t="shared" si="0"/>
        <v>*(?)</v>
      </c>
      <c r="P111" s="663"/>
      <c r="Q111" s="605"/>
      <c r="R111" s="771"/>
      <c r="S111" s="771"/>
      <c r="T111" s="455" t="str">
        <f t="shared" si="1"/>
        <v xml:space="preserve"> xx</v>
      </c>
      <c r="U111" s="612" t="str">
        <f t="shared" si="1"/>
        <v>*(?)</v>
      </c>
      <c r="V111" s="663"/>
      <c r="W111" s="605"/>
      <c r="X111" s="768"/>
      <c r="Y111" s="768"/>
      <c r="Z111" s="455" t="str">
        <f t="shared" si="2"/>
        <v xml:space="preserve"> xx</v>
      </c>
      <c r="AA111" s="612" t="str">
        <f>AL111</f>
        <v>*(?)</v>
      </c>
      <c r="AB111" s="663"/>
      <c r="AH111" s="185"/>
      <c r="AI111" s="418">
        <v>1</v>
      </c>
      <c r="AJ111" s="422"/>
      <c r="AK111" s="613" t="str">
        <f>IF(AI111=1," xx",IF(OR(AI111=3,AI111=4,AI111=9)," s",IF(OR(AI111=5,AI111=6)," bar",IF(OR(AI111=7,AI111=8),AB39,IF(AI111=10," --","--")))))</f>
        <v xml:space="preserve"> xx</v>
      </c>
      <c r="AL111" s="614" t="str">
        <f t="shared" si="3"/>
        <v>*(?)</v>
      </c>
      <c r="AM111" s="615" t="s">
        <v>2698</v>
      </c>
      <c r="AN111" s="189">
        <v>10</v>
      </c>
    </row>
    <row r="112" spans="2:40" ht="20.25" customHeight="1" x14ac:dyDescent="0.2">
      <c r="B112" s="668"/>
      <c r="C112" s="668"/>
      <c r="D112" s="668"/>
      <c r="E112" s="668"/>
      <c r="F112" s="668"/>
      <c r="G112" s="668"/>
      <c r="H112" s="668"/>
      <c r="I112" s="668"/>
      <c r="J112" s="668"/>
      <c r="L112" s="768"/>
      <c r="M112" s="768"/>
      <c r="N112" s="455"/>
      <c r="O112" s="612" t="s">
        <v>1879</v>
      </c>
      <c r="P112" s="663"/>
      <c r="Q112" s="605"/>
      <c r="R112" s="771"/>
      <c r="S112" s="771"/>
      <c r="T112" s="455"/>
      <c r="U112" s="612" t="s">
        <v>1879</v>
      </c>
      <c r="V112" s="663"/>
      <c r="W112" s="605"/>
      <c r="X112" s="768"/>
      <c r="Y112" s="768"/>
      <c r="Z112" s="455"/>
      <c r="AA112" s="612" t="s">
        <v>1879</v>
      </c>
      <c r="AB112" s="663"/>
      <c r="AH112" s="185"/>
      <c r="AI112" s="422"/>
      <c r="AJ112" s="422"/>
    </row>
    <row r="113" spans="2:40" ht="9" customHeight="1" x14ac:dyDescent="0.2">
      <c r="B113" s="610"/>
      <c r="C113" s="610"/>
      <c r="D113" s="610"/>
      <c r="E113" s="610"/>
      <c r="F113" s="610"/>
      <c r="G113" s="610"/>
      <c r="H113" s="610"/>
      <c r="I113" s="610"/>
      <c r="J113" s="610"/>
      <c r="K113" s="611"/>
      <c r="L113" s="611"/>
      <c r="M113" s="611"/>
      <c r="N113" s="611"/>
      <c r="O113" s="611"/>
      <c r="P113" s="611"/>
      <c r="Q113" s="611"/>
      <c r="R113" s="611"/>
      <c r="S113" s="611"/>
      <c r="AH113" s="185"/>
      <c r="AI113" s="422"/>
      <c r="AJ113" s="422"/>
    </row>
    <row r="114" spans="2:40" ht="20.25" customHeight="1" x14ac:dyDescent="0.2">
      <c r="B114" s="775" t="str">
        <f>HLOOKUP('4 Language'!$B$2,'4 Language'!$C$12:$H$307,294)</f>
        <v>Erfolgt die Prozessüberwachung über die Fließzahl [Einspritzarbeit] über Forminnendrucksensor oder ist Ihre Vorgehensweise hier nicht abbildbar, sind  nötigen Zusatzinformationen (wie beispielsweise die Druckkurven) separat bereitzustellen.</v>
      </c>
      <c r="C114" s="775"/>
      <c r="D114" s="775"/>
      <c r="E114" s="775"/>
      <c r="F114" s="775"/>
      <c r="G114" s="775"/>
      <c r="H114" s="775"/>
      <c r="I114" s="775"/>
      <c r="J114" s="775"/>
      <c r="K114" s="775"/>
      <c r="L114" s="775"/>
      <c r="M114" s="775"/>
      <c r="N114" s="775"/>
      <c r="O114" s="775"/>
      <c r="P114" s="189"/>
      <c r="Q114" s="767" t="str">
        <f>HLOOKUP('4 Language'!$B$2,'4 Language'!$C$12:$H$307,296)</f>
        <v xml:space="preserve">Neben den Vorgaben aus der Kunststoffdachnorm BN 568923-xxx, sind alle in der Zeichnung aufgeführten Normen zu berücksichtigen und entsprechend bei der Prozessführung bzw. Bemusterung einzuhalten. </v>
      </c>
      <c r="R114" s="767"/>
      <c r="S114" s="767"/>
      <c r="T114" s="767"/>
      <c r="U114" s="767"/>
      <c r="V114" s="767"/>
      <c r="W114" s="767"/>
      <c r="X114" s="767"/>
      <c r="Y114" s="767"/>
      <c r="Z114" s="767"/>
      <c r="AA114" s="767"/>
      <c r="AB114" s="767"/>
      <c r="AH114" s="185"/>
      <c r="AI114" s="422"/>
    </row>
    <row r="115" spans="2:40" ht="19.5" customHeight="1" x14ac:dyDescent="0.2">
      <c r="B115" s="775"/>
      <c r="C115" s="775"/>
      <c r="D115" s="775"/>
      <c r="E115" s="775"/>
      <c r="F115" s="775"/>
      <c r="G115" s="775"/>
      <c r="H115" s="775"/>
      <c r="I115" s="775"/>
      <c r="J115" s="775"/>
      <c r="K115" s="775"/>
      <c r="L115" s="775"/>
      <c r="M115" s="775"/>
      <c r="N115" s="775"/>
      <c r="O115" s="775"/>
      <c r="P115" s="189"/>
      <c r="Q115" s="767"/>
      <c r="R115" s="767"/>
      <c r="S115" s="767"/>
      <c r="T115" s="767"/>
      <c r="U115" s="767"/>
      <c r="V115" s="767"/>
      <c r="W115" s="767"/>
      <c r="X115" s="767"/>
      <c r="Y115" s="767"/>
      <c r="Z115" s="767"/>
      <c r="AA115" s="767"/>
      <c r="AB115" s="767"/>
      <c r="AH115" s="185"/>
    </row>
    <row r="116" spans="2:40" ht="9" customHeight="1" x14ac:dyDescent="0.2">
      <c r="B116" s="597"/>
      <c r="C116" s="597"/>
      <c r="D116" s="597"/>
      <c r="E116" s="597"/>
      <c r="F116" s="597"/>
      <c r="G116" s="597"/>
      <c r="H116" s="597"/>
      <c r="I116" s="597"/>
      <c r="J116" s="597"/>
      <c r="K116" s="597"/>
      <c r="L116" s="597"/>
      <c r="M116" s="597"/>
      <c r="N116" s="597"/>
      <c r="P116" s="218"/>
      <c r="Q116" s="767"/>
      <c r="R116" s="767"/>
      <c r="S116" s="767"/>
      <c r="T116" s="767"/>
      <c r="U116" s="767"/>
      <c r="V116" s="767"/>
      <c r="W116" s="767"/>
      <c r="X116" s="767"/>
      <c r="Y116" s="767"/>
      <c r="Z116" s="767"/>
      <c r="AA116" s="767"/>
      <c r="AB116" s="767"/>
      <c r="AC116" s="197"/>
      <c r="AH116" s="185"/>
    </row>
    <row r="117" spans="2:40" ht="9" customHeight="1" x14ac:dyDescent="0.2">
      <c r="M117" s="181"/>
      <c r="AH117" s="185"/>
      <c r="AI117" s="425"/>
      <c r="AJ117" s="425"/>
    </row>
    <row r="118" spans="2:40" ht="19.5" customHeight="1" x14ac:dyDescent="0.2">
      <c r="B118" s="201" t="str">
        <f>HLOOKUP('4 Language'!$B$2,'4 Language'!$C$12:$H$307,108)</f>
        <v>Angaben zum Werkzeug</v>
      </c>
      <c r="C118" s="219"/>
      <c r="D118" s="219"/>
      <c r="E118" s="219"/>
      <c r="F118" s="220"/>
      <c r="G118" s="220"/>
      <c r="H118" s="220" t="str">
        <f>HLOOKUP('4 Language'!$B$2,'4 Language'!$C$12:$H$307,109)</f>
        <v>Auslegung, Simulation und Mengen</v>
      </c>
      <c r="I118" s="202"/>
      <c r="J118" s="202"/>
      <c r="K118" s="202"/>
      <c r="L118" s="202"/>
      <c r="M118" s="221"/>
      <c r="N118" s="202"/>
      <c r="O118" s="222"/>
      <c r="P118" s="202"/>
      <c r="Q118" s="202"/>
      <c r="R118" s="202"/>
      <c r="S118" s="223"/>
      <c r="T118" s="223"/>
      <c r="U118" s="224"/>
      <c r="V118" s="223"/>
      <c r="W118" s="223"/>
      <c r="X118" s="223"/>
      <c r="Y118" s="223"/>
      <c r="Z118" s="223"/>
      <c r="AA118" s="223"/>
      <c r="AB118" s="223"/>
      <c r="AH118" s="185"/>
      <c r="AI118" s="422" t="s">
        <v>1651</v>
      </c>
      <c r="AJ118" s="422" t="s">
        <v>1655</v>
      </c>
      <c r="AK118" s="424" t="b">
        <f>FALSE</f>
        <v>0</v>
      </c>
      <c r="AL118" s="424" t="b">
        <f>FALSE</f>
        <v>0</v>
      </c>
    </row>
    <row r="119" spans="2:40" ht="19.5" customHeight="1" x14ac:dyDescent="0.2">
      <c r="B119" s="512" t="str">
        <f>HLOOKUP('4 Language'!$B$2,'4 Language'!$C$12:$H$307,112)</f>
        <v xml:space="preserve">Werkzeugabmaße </v>
      </c>
      <c r="C119" s="513"/>
      <c r="D119" s="514"/>
      <c r="E119" s="512"/>
      <c r="F119" s="857"/>
      <c r="G119" s="857"/>
      <c r="H119" s="515" t="s">
        <v>62</v>
      </c>
      <c r="I119" s="857"/>
      <c r="J119" s="857"/>
      <c r="K119" s="515" t="s">
        <v>62</v>
      </c>
      <c r="L119" s="857"/>
      <c r="M119" s="857"/>
      <c r="N119" s="516" t="s">
        <v>292</v>
      </c>
      <c r="P119" s="512" t="str">
        <f>"* "&amp;HLOOKUP('4 Language'!$B$2,'4 Language'!$C$12:$H$307,179)</f>
        <v>* Angaben zur Stahl-Güte</v>
      </c>
      <c r="Q119" s="513"/>
      <c r="R119" s="514"/>
      <c r="S119" s="512"/>
      <c r="T119" s="512"/>
      <c r="U119" s="512"/>
      <c r="V119" s="512" t="str">
        <f>HLOOKUP('4 Language'!$B$2,'4 Language'!$C$12:$H$307,184)</f>
        <v>Auswahl ISO~AISI</v>
      </c>
      <c r="W119" s="518"/>
      <c r="X119" s="518"/>
      <c r="Y119" s="518"/>
      <c r="Z119" s="519" t="str">
        <f>HLOOKUP('4 Language'!$B$2,'4 Language'!$C$12:$H$307,185)</f>
        <v>gehärtet</v>
      </c>
      <c r="AA119" s="512"/>
      <c r="AB119" s="519" t="str">
        <f>HLOOKUP('4 Language'!$B$2,'4 Language'!$C$12:$H$307,186)</f>
        <v>beschichtet</v>
      </c>
      <c r="AH119" s="185"/>
      <c r="AI119" s="422" t="s">
        <v>1856</v>
      </c>
      <c r="AJ119" s="422" t="s">
        <v>1859</v>
      </c>
      <c r="AK119" s="424" t="b">
        <v>0</v>
      </c>
      <c r="AL119" s="424" t="b">
        <v>0</v>
      </c>
    </row>
    <row r="120" spans="2:40" ht="20.45" customHeight="1" x14ac:dyDescent="0.2">
      <c r="B120" s="495" t="str">
        <f>HLOOKUP('4 Language'!$B$2,'4 Language'!$C$12:$H$307,113)</f>
        <v>Werkzeuggewicht</v>
      </c>
      <c r="C120" s="511"/>
      <c r="D120" s="500"/>
      <c r="E120" s="495"/>
      <c r="F120" s="500"/>
      <c r="G120" s="510"/>
      <c r="H120" s="510"/>
      <c r="I120" s="510"/>
      <c r="J120" s="510"/>
      <c r="K120" s="510"/>
      <c r="L120" s="858"/>
      <c r="M120" s="858"/>
      <c r="N120" s="525" t="s">
        <v>303</v>
      </c>
      <c r="P120" s="495" t="str">
        <f>"* "&amp;HLOOKUP('4 Language'!$B$2,'4 Language'!$C$12:$H$307,183)</f>
        <v>* Formaufbau</v>
      </c>
      <c r="Q120" s="511"/>
      <c r="R120" s="500"/>
      <c r="S120" s="495"/>
      <c r="T120" s="495"/>
      <c r="U120" s="495"/>
      <c r="V120" s="495"/>
      <c r="W120" s="510"/>
      <c r="X120" s="510"/>
      <c r="Y120" s="509"/>
      <c r="Z120" s="500"/>
      <c r="AA120" s="509"/>
      <c r="AB120" s="500"/>
      <c r="AH120" s="185"/>
      <c r="AI120" s="422" t="s">
        <v>1652</v>
      </c>
      <c r="AJ120" s="422" t="s">
        <v>1656</v>
      </c>
      <c r="AK120" s="424" t="b">
        <v>0</v>
      </c>
      <c r="AL120" s="424" t="b">
        <f>FALSE</f>
        <v>0</v>
      </c>
    </row>
    <row r="121" spans="2:40" ht="20.45" customHeight="1" x14ac:dyDescent="0.2">
      <c r="B121" s="505" t="str">
        <f>"* "&amp;HLOOKUP('4 Language'!$B$2,'4 Language'!$C$12:$H$307,114)</f>
        <v>* Wurde eine Moldflow Analyse durchgeführt?</v>
      </c>
      <c r="C121" s="508"/>
      <c r="D121" s="508"/>
      <c r="E121" s="508"/>
      <c r="F121" s="508"/>
      <c r="G121" s="508"/>
      <c r="H121" s="508"/>
      <c r="I121" s="508"/>
      <c r="J121" s="211"/>
      <c r="K121" s="506" t="str">
        <f>HLOOKUP('4 Language'!$B$2,'4 Language'!$C$12:$H$307,9)</f>
        <v>ja</v>
      </c>
      <c r="L121" s="491"/>
      <c r="M121" s="506" t="str">
        <f>HLOOKUP('4 Language'!$B$2,'4 Language'!$C$12:$H$307,10)</f>
        <v>nein</v>
      </c>
      <c r="N121" s="491"/>
      <c r="P121" s="517" t="str">
        <f>"* "&amp;HLOOKUP('4 Language'!$B$2,'4 Language'!$C$12:$H$307,180)</f>
        <v>* Kavität feste WZ-Hälfte</v>
      </c>
      <c r="Q121" s="543"/>
      <c r="R121" s="543"/>
      <c r="S121" s="543"/>
      <c r="T121" s="543"/>
      <c r="U121" s="670"/>
      <c r="V121" s="496"/>
      <c r="W121" s="496"/>
      <c r="X121" s="496"/>
      <c r="Y121" s="509"/>
      <c r="Z121" s="500"/>
      <c r="AA121" s="509"/>
      <c r="AB121" s="500"/>
      <c r="AH121" s="185"/>
      <c r="AI121" s="422" t="s">
        <v>1857</v>
      </c>
      <c r="AJ121" s="422" t="s">
        <v>1858</v>
      </c>
      <c r="AK121" s="424" t="b">
        <v>0</v>
      </c>
      <c r="AL121" s="424" t="b">
        <v>0</v>
      </c>
    </row>
    <row r="122" spans="2:40" ht="20.45" customHeight="1" x14ac:dyDescent="0.2">
      <c r="B122" s="495" t="str">
        <f>"* "&amp;HLOOKUP('4 Language'!$B$2,'4 Language'!$C$12:$H$307,115)</f>
        <v>* Ergebnisse im Werkzeug berücksichtigt?</v>
      </c>
      <c r="C122" s="510"/>
      <c r="D122" s="510"/>
      <c r="E122" s="510"/>
      <c r="F122" s="510"/>
      <c r="G122" s="510"/>
      <c r="H122" s="510"/>
      <c r="I122" s="510"/>
      <c r="J122" s="496"/>
      <c r="K122" s="509" t="str">
        <f>HLOOKUP('4 Language'!$B$2,'4 Language'!$C$12:$H$307,9)</f>
        <v>ja</v>
      </c>
      <c r="L122" s="500"/>
      <c r="M122" s="509" t="str">
        <f>HLOOKUP('4 Language'!$B$2,'4 Language'!$C$12:$H$307,10)</f>
        <v>nein</v>
      </c>
      <c r="N122" s="500"/>
      <c r="P122" s="495" t="str">
        <f>"* "&amp;HLOOKUP('4 Language'!$B$2,'4 Language'!$C$12:$H$307,181)</f>
        <v>* Kavität bewegliche WZ-Hälfte</v>
      </c>
      <c r="Q122" s="496"/>
      <c r="R122" s="496"/>
      <c r="S122" s="496"/>
      <c r="T122" s="496"/>
      <c r="U122" s="496"/>
      <c r="V122" s="496"/>
      <c r="W122" s="496"/>
      <c r="X122" s="496"/>
      <c r="Y122" s="509"/>
      <c r="Z122" s="500"/>
      <c r="AA122" s="509"/>
      <c r="AB122" s="500"/>
      <c r="AH122" s="185"/>
      <c r="AI122" s="422" t="s">
        <v>1653</v>
      </c>
      <c r="AJ122" s="422" t="s">
        <v>1657</v>
      </c>
      <c r="AK122" s="424" t="b">
        <f>FALSE</f>
        <v>0</v>
      </c>
      <c r="AL122" s="424" t="b">
        <f>FALSE</f>
        <v>0</v>
      </c>
    </row>
    <row r="123" spans="2:40" ht="20.45" customHeight="1" x14ac:dyDescent="0.2">
      <c r="B123" s="207" t="str">
        <f>HLOOKUP('4 Language'!$B$2,'4 Language'!$C$12:$H$307,117)</f>
        <v>Info: Der Moldflowbericht ist zur FS vorzustellen!</v>
      </c>
      <c r="C123" s="216"/>
      <c r="D123" s="216"/>
      <c r="E123" s="216"/>
      <c r="F123" s="216"/>
      <c r="G123" s="216"/>
      <c r="H123" s="216"/>
      <c r="I123" s="217"/>
      <c r="K123" s="217"/>
      <c r="L123" s="217"/>
      <c r="M123" s="217"/>
      <c r="N123" s="189"/>
      <c r="P123" s="495" t="str">
        <f>"* "&amp;HLOOKUP('4 Language'!$B$2,'4 Language'!$C$12:$H$307,182)</f>
        <v>* Teileinsätze / Entformelemente</v>
      </c>
      <c r="Q123" s="496"/>
      <c r="R123" s="496"/>
      <c r="S123" s="496"/>
      <c r="T123" s="496"/>
      <c r="U123" s="496"/>
      <c r="V123" s="496"/>
      <c r="W123" s="496"/>
      <c r="X123" s="496"/>
      <c r="Y123" s="509"/>
      <c r="Z123" s="500"/>
      <c r="AA123" s="509"/>
      <c r="AB123" s="500"/>
      <c r="AH123" s="185"/>
      <c r="AI123" s="422" t="s">
        <v>1654</v>
      </c>
      <c r="AJ123" s="422" t="s">
        <v>1658</v>
      </c>
      <c r="AK123" s="424" t="b">
        <f>FALSE</f>
        <v>0</v>
      </c>
      <c r="AL123" s="424" t="b">
        <f>FALSE</f>
        <v>0</v>
      </c>
    </row>
    <row r="124" spans="2:40" ht="9" customHeight="1" x14ac:dyDescent="0.2">
      <c r="AH124" s="185"/>
      <c r="AI124" s="416"/>
      <c r="AJ124" s="416"/>
      <c r="AK124" s="416"/>
      <c r="AL124" s="416"/>
      <c r="AM124" s="416"/>
      <c r="AN124" s="416"/>
    </row>
    <row r="125" spans="2:40" ht="19.5" customHeight="1" x14ac:dyDescent="0.2">
      <c r="B125" s="176" t="str">
        <f>HLOOKUP('4 Language'!$B$2,'4 Language'!$C$12:$H$307,278)</f>
        <v>Anbindung</v>
      </c>
      <c r="C125" s="173"/>
      <c r="D125" s="173"/>
      <c r="E125" s="173"/>
      <c r="F125" s="225"/>
      <c r="G125" s="197"/>
      <c r="H125" s="197"/>
      <c r="I125" s="197"/>
      <c r="J125" s="197"/>
      <c r="K125" s="197"/>
      <c r="L125" s="197"/>
      <c r="M125" s="226"/>
      <c r="N125" s="227" t="str">
        <f>HLOOKUP('4 Language'!$B$2,'4 Language'!$C$12:$H$307,252)</f>
        <v xml:space="preserve">Komponente   </v>
      </c>
      <c r="O125" s="226">
        <v>1</v>
      </c>
      <c r="P125" s="197"/>
      <c r="Q125" s="197"/>
      <c r="R125" s="197"/>
      <c r="S125" s="197"/>
      <c r="T125" s="227" t="str">
        <f>HLOOKUP('4 Language'!$B$2,'4 Language'!$C$12:$H$307,252)</f>
        <v xml:space="preserve">Komponente   </v>
      </c>
      <c r="U125" s="226">
        <v>2</v>
      </c>
      <c r="V125" s="197"/>
      <c r="W125" s="197"/>
      <c r="X125" s="197"/>
      <c r="Y125" s="197"/>
      <c r="Z125" s="227" t="str">
        <f>HLOOKUP('4 Language'!$B$2,'4 Language'!$C$12:$H$307,252)</f>
        <v xml:space="preserve">Komponente   </v>
      </c>
      <c r="AA125" s="226">
        <v>3</v>
      </c>
      <c r="AB125" s="197"/>
      <c r="AH125" s="185"/>
      <c r="AI125" s="421"/>
      <c r="AJ125" s="421"/>
      <c r="AK125" s="422" t="s">
        <v>1624</v>
      </c>
      <c r="AL125" s="421"/>
      <c r="AM125" s="421"/>
      <c r="AN125" s="421"/>
    </row>
    <row r="126" spans="2:40" ht="20.45" customHeight="1" x14ac:dyDescent="0.2">
      <c r="B126" s="520" t="str">
        <f>HLOOKUP('4 Language'!$B$2,'4 Language'!$C$12:$H$307,118)</f>
        <v>Anbindung</v>
      </c>
      <c r="C126" s="521"/>
      <c r="D126" s="521"/>
      <c r="E126" s="521"/>
      <c r="F126" s="521"/>
      <c r="G126" s="521"/>
      <c r="H126" s="521"/>
      <c r="I126" s="521"/>
      <c r="J126" s="521"/>
      <c r="K126" s="521"/>
      <c r="L126" s="521"/>
      <c r="M126" s="522"/>
      <c r="N126" s="521"/>
      <c r="O126" s="523"/>
      <c r="P126" s="521"/>
      <c r="Q126" s="521"/>
      <c r="R126" s="521"/>
      <c r="S126" s="521"/>
      <c r="T126" s="521"/>
      <c r="U126" s="521"/>
      <c r="V126" s="521"/>
      <c r="W126" s="521"/>
      <c r="X126" s="521"/>
      <c r="Y126" s="521"/>
      <c r="Z126" s="521"/>
      <c r="AA126" s="521"/>
      <c r="AB126" s="521"/>
      <c r="AH126" s="185"/>
      <c r="AI126" s="418">
        <v>1</v>
      </c>
      <c r="AJ126" s="422" t="s">
        <v>1625</v>
      </c>
      <c r="AK126" s="422" t="s">
        <v>1639</v>
      </c>
      <c r="AL126" s="423"/>
      <c r="AM126" s="421"/>
      <c r="AN126" s="421"/>
    </row>
    <row r="127" spans="2:40" ht="19.5" customHeight="1" x14ac:dyDescent="0.2">
      <c r="B127" s="495" t="str">
        <f>"* "&amp;HLOOKUP('4 Language'!$B$2,'4 Language'!$C$12:$H$307,119)</f>
        <v>* Hersteller / System</v>
      </c>
      <c r="C127" s="496"/>
      <c r="D127" s="496"/>
      <c r="E127" s="496"/>
      <c r="F127" s="496"/>
      <c r="G127" s="496"/>
      <c r="H127" s="496"/>
      <c r="I127" s="496"/>
      <c r="J127" s="496"/>
      <c r="K127" s="496"/>
      <c r="L127" s="655"/>
      <c r="M127" s="655"/>
      <c r="N127" s="655"/>
      <c r="O127" s="655"/>
      <c r="P127" s="655"/>
      <c r="Q127" s="496"/>
      <c r="R127" s="655"/>
      <c r="S127" s="655"/>
      <c r="T127" s="655"/>
      <c r="U127" s="655"/>
      <c r="V127" s="655"/>
      <c r="W127" s="496"/>
      <c r="X127" s="655"/>
      <c r="Y127" s="655"/>
      <c r="Z127" s="655"/>
      <c r="AA127" s="655"/>
      <c r="AB127" s="655"/>
      <c r="AH127" s="185"/>
      <c r="AI127" s="418">
        <f>1</f>
        <v>1</v>
      </c>
      <c r="AJ127" s="422" t="s">
        <v>1626</v>
      </c>
      <c r="AK127" s="422" t="s">
        <v>1640</v>
      </c>
      <c r="AL127" s="423"/>
      <c r="AM127" s="421"/>
      <c r="AN127" s="421"/>
    </row>
    <row r="128" spans="2:40" ht="19.5" customHeight="1" x14ac:dyDescent="0.2">
      <c r="B128" s="495" t="str">
        <f>"* "&amp;HLOOKUP('4 Language'!$B$2,'4 Language'!$C$12:$H$307,120)</f>
        <v>* Kanaldurchmesser im Verteiler</v>
      </c>
      <c r="C128" s="496"/>
      <c r="D128" s="496"/>
      <c r="E128" s="496"/>
      <c r="F128" s="496"/>
      <c r="G128" s="496"/>
      <c r="H128" s="496"/>
      <c r="I128" s="496"/>
      <c r="J128" s="496"/>
      <c r="K128" s="496"/>
      <c r="L128" s="496"/>
      <c r="M128" s="524"/>
      <c r="N128" s="809"/>
      <c r="O128" s="809"/>
      <c r="P128" s="525" t="s">
        <v>292</v>
      </c>
      <c r="Q128" s="496"/>
      <c r="R128" s="496"/>
      <c r="S128" s="496"/>
      <c r="T128" s="809"/>
      <c r="U128" s="809"/>
      <c r="V128" s="525" t="s">
        <v>292</v>
      </c>
      <c r="W128" s="496"/>
      <c r="X128" s="496"/>
      <c r="Y128" s="496"/>
      <c r="Z128" s="809"/>
      <c r="AA128" s="809"/>
      <c r="AB128" s="525" t="s">
        <v>292</v>
      </c>
      <c r="AH128" s="185"/>
      <c r="AI128" s="418">
        <f>1</f>
        <v>1</v>
      </c>
      <c r="AJ128" s="422" t="s">
        <v>1627</v>
      </c>
      <c r="AK128" s="422" t="s">
        <v>1641</v>
      </c>
      <c r="AL128" s="423"/>
      <c r="AM128" s="421"/>
      <c r="AN128" s="421"/>
    </row>
    <row r="129" spans="2:40" ht="20.45" customHeight="1" x14ac:dyDescent="0.2">
      <c r="B129" s="495" t="str">
        <f>"* "&amp;HLOOKUP('4 Language'!$B$2,'4 Language'!$C$12:$H$307,121)</f>
        <v>* Düse</v>
      </c>
      <c r="C129" s="511"/>
      <c r="D129" s="496"/>
      <c r="E129" s="496"/>
      <c r="F129" s="496"/>
      <c r="G129" s="496"/>
      <c r="H129" s="496"/>
      <c r="I129" s="496"/>
      <c r="J129" s="496"/>
      <c r="K129" s="496"/>
      <c r="L129" s="496"/>
      <c r="M129" s="496"/>
      <c r="N129" s="496"/>
      <c r="O129" s="501"/>
      <c r="P129" s="496"/>
      <c r="Q129" s="496"/>
      <c r="R129" s="496"/>
      <c r="S129" s="496"/>
      <c r="T129" s="496"/>
      <c r="U129" s="496"/>
      <c r="V129" s="496"/>
      <c r="W129" s="496"/>
      <c r="X129" s="496"/>
      <c r="Y129" s="496"/>
      <c r="Z129" s="496"/>
      <c r="AA129" s="496"/>
      <c r="AB129" s="496"/>
      <c r="AH129" s="185"/>
      <c r="AI129" s="418">
        <f>1</f>
        <v>1</v>
      </c>
      <c r="AJ129" s="422" t="s">
        <v>1628</v>
      </c>
      <c r="AK129" s="422" t="s">
        <v>1642</v>
      </c>
      <c r="AL129" s="423"/>
      <c r="AM129" s="421"/>
      <c r="AN129" s="421"/>
    </row>
    <row r="130" spans="2:40" ht="19.5" customHeight="1" x14ac:dyDescent="0.2">
      <c r="B130" s="495" t="str">
        <f>"* "&amp;HLOOKUP('4 Language'!$B$2,'4 Language'!$C$12:$H$307,281)</f>
        <v>* Düsendurchmesser  [innen]</v>
      </c>
      <c r="C130" s="496"/>
      <c r="D130" s="496"/>
      <c r="E130" s="496"/>
      <c r="F130" s="496"/>
      <c r="G130" s="496"/>
      <c r="H130" s="496"/>
      <c r="I130" s="496"/>
      <c r="J130" s="496"/>
      <c r="K130" s="496"/>
      <c r="L130" s="496"/>
      <c r="M130" s="526" t="s">
        <v>27</v>
      </c>
      <c r="N130" s="809"/>
      <c r="O130" s="809"/>
      <c r="P130" s="510" t="s">
        <v>292</v>
      </c>
      <c r="Q130" s="496"/>
      <c r="R130" s="496"/>
      <c r="S130" s="526" t="s">
        <v>27</v>
      </c>
      <c r="T130" s="809"/>
      <c r="U130" s="809"/>
      <c r="V130" s="510" t="s">
        <v>292</v>
      </c>
      <c r="W130" s="496"/>
      <c r="X130" s="496"/>
      <c r="Y130" s="526" t="s">
        <v>27</v>
      </c>
      <c r="Z130" s="809"/>
      <c r="AA130" s="809"/>
      <c r="AB130" s="510" t="s">
        <v>292</v>
      </c>
      <c r="AH130" s="185"/>
      <c r="AI130" s="418">
        <f>1</f>
        <v>1</v>
      </c>
      <c r="AJ130" s="422" t="s">
        <v>1629</v>
      </c>
      <c r="AK130" s="422" t="s">
        <v>1643</v>
      </c>
      <c r="AL130" s="423"/>
      <c r="AM130" s="421"/>
      <c r="AN130" s="421"/>
    </row>
    <row r="131" spans="2:40" ht="19.5" customHeight="1" x14ac:dyDescent="0.2">
      <c r="B131" s="495" t="str">
        <f>"* "&amp;HLOOKUP('4 Language'!$B$2,'4 Language'!$C$12:$H$307,122)</f>
        <v>* Nadeldurchmesser  I  Anschnittdurchmesser [bei Kaltkanal]</v>
      </c>
      <c r="C131" s="510"/>
      <c r="D131" s="510"/>
      <c r="E131" s="510"/>
      <c r="F131" s="510"/>
      <c r="G131" s="510"/>
      <c r="H131" s="510"/>
      <c r="I131" s="510"/>
      <c r="J131" s="510"/>
      <c r="K131" s="510"/>
      <c r="L131" s="845"/>
      <c r="M131" s="843"/>
      <c r="N131" s="843"/>
      <c r="O131" s="844"/>
      <c r="P131" s="525" t="s">
        <v>292</v>
      </c>
      <c r="Q131" s="496"/>
      <c r="R131" s="845"/>
      <c r="S131" s="843"/>
      <c r="T131" s="843"/>
      <c r="U131" s="844"/>
      <c r="V131" s="525" t="s">
        <v>292</v>
      </c>
      <c r="W131" s="496"/>
      <c r="X131" s="845"/>
      <c r="Y131" s="843"/>
      <c r="Z131" s="843"/>
      <c r="AA131" s="844"/>
      <c r="AB131" s="525" t="s">
        <v>292</v>
      </c>
      <c r="AH131" s="185"/>
      <c r="AI131" s="418">
        <f>1</f>
        <v>1</v>
      </c>
      <c r="AJ131" s="422" t="s">
        <v>1630</v>
      </c>
      <c r="AK131" s="422" t="s">
        <v>1644</v>
      </c>
      <c r="AL131" s="423"/>
      <c r="AM131" s="421"/>
      <c r="AN131" s="421"/>
    </row>
    <row r="132" spans="2:40" ht="20.45" customHeight="1" x14ac:dyDescent="0.2">
      <c r="B132" s="495" t="str">
        <f>HLOOKUP('4 Language'!$B$2,'4 Language'!$C$12:$H$307,124)</f>
        <v>Angaben zum Kaltkanal</v>
      </c>
      <c r="C132" s="496"/>
      <c r="D132" s="496"/>
      <c r="E132" s="496"/>
      <c r="F132" s="496"/>
      <c r="G132" s="496"/>
      <c r="H132" s="496"/>
      <c r="I132" s="496"/>
      <c r="J132" s="496"/>
      <c r="K132" s="496"/>
      <c r="L132" s="496"/>
      <c r="M132" s="496"/>
      <c r="N132" s="496"/>
      <c r="O132" s="501"/>
      <c r="P132" s="496"/>
      <c r="Q132" s="496"/>
      <c r="R132" s="496"/>
      <c r="S132" s="496"/>
      <c r="T132" s="496"/>
      <c r="U132" s="496"/>
      <c r="V132" s="496"/>
      <c r="W132" s="496"/>
      <c r="X132" s="496"/>
      <c r="Y132" s="496"/>
      <c r="Z132" s="496"/>
      <c r="AA132" s="496"/>
      <c r="AB132" s="496"/>
      <c r="AH132" s="185"/>
      <c r="AI132" s="418">
        <f>1</f>
        <v>1</v>
      </c>
      <c r="AJ132" s="422" t="s">
        <v>1631</v>
      </c>
      <c r="AK132" s="422" t="s">
        <v>1645</v>
      </c>
      <c r="AL132" s="423"/>
      <c r="AM132" s="421"/>
      <c r="AN132" s="421"/>
    </row>
    <row r="133" spans="2:40" ht="19.5" customHeight="1" x14ac:dyDescent="0.2">
      <c r="B133" s="495" t="str">
        <f>HLOOKUP('4 Language'!$B$2,'4 Language'!$C$12:$H$307,125)</f>
        <v>Angußstange</v>
      </c>
      <c r="C133" s="496"/>
      <c r="D133" s="496"/>
      <c r="E133" s="496"/>
      <c r="F133" s="496"/>
      <c r="G133" s="496"/>
      <c r="H133" s="495"/>
      <c r="I133" s="509" t="str">
        <f>"Ø I "&amp;HLOOKUP('4 Language'!$B$2,'4 Language'!$C$12:$H$307,131)</f>
        <v>Ø I Winkel</v>
      </c>
      <c r="J133" s="496"/>
      <c r="K133" s="527" t="s">
        <v>292</v>
      </c>
      <c r="L133" s="845"/>
      <c r="M133" s="843"/>
      <c r="N133" s="843"/>
      <c r="O133" s="844"/>
      <c r="P133" s="528" t="s">
        <v>25</v>
      </c>
      <c r="Q133" s="527" t="s">
        <v>292</v>
      </c>
      <c r="R133" s="845"/>
      <c r="S133" s="843"/>
      <c r="T133" s="843"/>
      <c r="U133" s="844"/>
      <c r="V133" s="528" t="s">
        <v>25</v>
      </c>
      <c r="W133" s="527" t="s">
        <v>292</v>
      </c>
      <c r="X133" s="845"/>
      <c r="Y133" s="843"/>
      <c r="Z133" s="843"/>
      <c r="AA133" s="844"/>
      <c r="AB133" s="528" t="s">
        <v>25</v>
      </c>
      <c r="AH133" s="185"/>
      <c r="AI133" s="418">
        <f>1</f>
        <v>1</v>
      </c>
      <c r="AJ133" s="422" t="s">
        <v>1635</v>
      </c>
      <c r="AK133" s="422" t="s">
        <v>1646</v>
      </c>
      <c r="AL133" s="423"/>
      <c r="AM133" s="421"/>
      <c r="AN133" s="421"/>
    </row>
    <row r="134" spans="2:40" ht="19.5" customHeight="1" x14ac:dyDescent="0.2">
      <c r="B134" s="495" t="str">
        <f>"1.  "&amp;HLOOKUP('4 Language'!$B$2,'4 Language'!$C$12:$H$307,126)</f>
        <v xml:space="preserve">1.  Verteilerquerschnitt </v>
      </c>
      <c r="C134" s="496"/>
      <c r="D134" s="496"/>
      <c r="E134" s="496"/>
      <c r="F134" s="496"/>
      <c r="G134" s="496"/>
      <c r="H134" s="495"/>
      <c r="I134" s="509" t="str">
        <f>"Ø I "&amp;HLOOKUP('4 Language'!$B$2,'4 Language'!$C$12:$H$307,132)</f>
        <v>Ø I Länge</v>
      </c>
      <c r="J134" s="509"/>
      <c r="K134" s="527" t="s">
        <v>292</v>
      </c>
      <c r="L134" s="845"/>
      <c r="M134" s="843"/>
      <c r="N134" s="843"/>
      <c r="O134" s="844"/>
      <c r="P134" s="499" t="s">
        <v>292</v>
      </c>
      <c r="Q134" s="527" t="s">
        <v>292</v>
      </c>
      <c r="R134" s="845"/>
      <c r="S134" s="843"/>
      <c r="T134" s="843"/>
      <c r="U134" s="844"/>
      <c r="V134" s="499" t="s">
        <v>292</v>
      </c>
      <c r="W134" s="527" t="s">
        <v>292</v>
      </c>
      <c r="X134" s="845"/>
      <c r="Y134" s="843"/>
      <c r="Z134" s="843"/>
      <c r="AA134" s="844"/>
      <c r="AB134" s="499" t="s">
        <v>292</v>
      </c>
      <c r="AH134" s="185"/>
      <c r="AI134" s="418">
        <f>1</f>
        <v>1</v>
      </c>
      <c r="AJ134" s="422" t="s">
        <v>1636</v>
      </c>
      <c r="AK134" s="422" t="s">
        <v>1647</v>
      </c>
      <c r="AL134" s="423"/>
      <c r="AM134" s="421"/>
      <c r="AN134" s="421"/>
    </row>
    <row r="135" spans="2:40" ht="19.5" customHeight="1" x14ac:dyDescent="0.2">
      <c r="B135" s="495" t="str">
        <f>"2.  "&amp;HLOOKUP('4 Language'!$B$2,'4 Language'!$C$12:$H$307,126)</f>
        <v xml:space="preserve">2.  Verteilerquerschnitt </v>
      </c>
      <c r="C135" s="496"/>
      <c r="D135" s="496"/>
      <c r="E135" s="496"/>
      <c r="F135" s="496"/>
      <c r="G135" s="496"/>
      <c r="H135" s="495"/>
      <c r="I135" s="509" t="str">
        <f>"Ø I "&amp;HLOOKUP('4 Language'!$B$2,'4 Language'!$C$12:$H$307,132)</f>
        <v>Ø I Länge</v>
      </c>
      <c r="J135" s="509"/>
      <c r="K135" s="527" t="s">
        <v>292</v>
      </c>
      <c r="L135" s="845"/>
      <c r="M135" s="843"/>
      <c r="N135" s="843"/>
      <c r="O135" s="844"/>
      <c r="P135" s="499" t="s">
        <v>292</v>
      </c>
      <c r="Q135" s="527" t="s">
        <v>292</v>
      </c>
      <c r="R135" s="845"/>
      <c r="S135" s="843"/>
      <c r="T135" s="843"/>
      <c r="U135" s="844"/>
      <c r="V135" s="499" t="s">
        <v>292</v>
      </c>
      <c r="W135" s="527" t="s">
        <v>292</v>
      </c>
      <c r="X135" s="845"/>
      <c r="Y135" s="843"/>
      <c r="Z135" s="843"/>
      <c r="AA135" s="844"/>
      <c r="AB135" s="499" t="s">
        <v>292</v>
      </c>
      <c r="AH135" s="185"/>
      <c r="AI135" s="418">
        <v>1</v>
      </c>
      <c r="AJ135" s="422" t="s">
        <v>1632</v>
      </c>
      <c r="AK135" s="422" t="s">
        <v>1648</v>
      </c>
      <c r="AL135" s="423"/>
      <c r="AM135" s="421"/>
      <c r="AN135" s="421"/>
    </row>
    <row r="136" spans="2:40" ht="20.45" customHeight="1" x14ac:dyDescent="0.2">
      <c r="B136" s="495" t="str">
        <f>"* "&amp;HLOOKUP('4 Language'!$B$2,'4 Language'!$C$12:$H$307,127)</f>
        <v>* Angussart</v>
      </c>
      <c r="C136" s="511"/>
      <c r="D136" s="500"/>
      <c r="E136" s="495"/>
      <c r="F136" s="495"/>
      <c r="G136" s="529"/>
      <c r="H136" s="529"/>
      <c r="I136" s="529"/>
      <c r="J136" s="529"/>
      <c r="K136" s="529"/>
      <c r="L136" s="529"/>
      <c r="M136" s="529"/>
      <c r="N136" s="529"/>
      <c r="O136" s="501"/>
      <c r="P136" s="496"/>
      <c r="Q136" s="496"/>
      <c r="R136" s="496"/>
      <c r="S136" s="496"/>
      <c r="T136" s="496"/>
      <c r="U136" s="496"/>
      <c r="V136" s="496"/>
      <c r="W136" s="496"/>
      <c r="X136" s="496"/>
      <c r="Y136" s="496"/>
      <c r="Z136" s="496"/>
      <c r="AA136" s="496"/>
      <c r="AB136" s="496"/>
      <c r="AH136" s="185"/>
      <c r="AI136" s="418">
        <f>1</f>
        <v>1</v>
      </c>
      <c r="AJ136" s="422" t="s">
        <v>1633</v>
      </c>
      <c r="AK136" s="422" t="s">
        <v>1649</v>
      </c>
      <c r="AL136" s="423"/>
      <c r="AM136" s="421"/>
      <c r="AN136" s="421"/>
    </row>
    <row r="137" spans="2:40" ht="20.45" customHeight="1" x14ac:dyDescent="0.2">
      <c r="B137" s="495" t="str">
        <f>"* "&amp;HLOOKUP('4 Language'!$B$2,'4 Language'!$C$12:$H$307,129)</f>
        <v>* Angussanzahl je Bauteil / Düsenanzahl im Werkzeug</v>
      </c>
      <c r="C137" s="496"/>
      <c r="D137" s="496"/>
      <c r="E137" s="496"/>
      <c r="F137" s="496"/>
      <c r="G137" s="496"/>
      <c r="H137" s="496"/>
      <c r="I137" s="496"/>
      <c r="J137" s="496"/>
      <c r="K137" s="496"/>
      <c r="L137" s="816"/>
      <c r="M137" s="817"/>
      <c r="N137" s="817"/>
      <c r="O137" s="853"/>
      <c r="P137" s="496"/>
      <c r="Q137" s="496"/>
      <c r="R137" s="816"/>
      <c r="S137" s="817"/>
      <c r="T137" s="817"/>
      <c r="U137" s="853"/>
      <c r="V137" s="496"/>
      <c r="W137" s="496"/>
      <c r="X137" s="816"/>
      <c r="Y137" s="817"/>
      <c r="Z137" s="817"/>
      <c r="AA137" s="853"/>
      <c r="AB137" s="496"/>
      <c r="AH137" s="185"/>
      <c r="AI137" s="418">
        <v>1</v>
      </c>
      <c r="AJ137" s="422" t="s">
        <v>1634</v>
      </c>
      <c r="AK137" s="422" t="s">
        <v>1650</v>
      </c>
      <c r="AL137" s="423"/>
      <c r="AM137" s="421"/>
      <c r="AN137" s="421"/>
    </row>
    <row r="138" spans="2:40" ht="20.45" customHeight="1" x14ac:dyDescent="0.2">
      <c r="B138" s="495" t="str">
        <f>"* "&amp;HLOOKUP('4 Language'!$B$2,'4 Language'!$C$12:$H$307,128)</f>
        <v>* Position / Gestaltung entsprechend Brose Zeichnung</v>
      </c>
      <c r="C138" s="496"/>
      <c r="D138" s="496"/>
      <c r="E138" s="496"/>
      <c r="F138" s="496"/>
      <c r="G138" s="496"/>
      <c r="H138" s="496"/>
      <c r="I138" s="496"/>
      <c r="J138" s="496"/>
      <c r="K138" s="509" t="str">
        <f>HLOOKUP('4 Language'!$B$2,'4 Language'!$C$12:$H$307,9)</f>
        <v>ja</v>
      </c>
      <c r="L138" s="500"/>
      <c r="M138" s="509" t="str">
        <f>HLOOKUP('4 Language'!$B$2,'4 Language'!$C$12:$H$307,10)</f>
        <v>nein</v>
      </c>
      <c r="N138" s="500"/>
      <c r="O138" s="496"/>
      <c r="Q138" s="854" t="str">
        <f>HLOOKUP('4 Language'!$B$2,'4 Language'!$C$12:$H$307,155)</f>
        <v>Info: Wenn kein Zeichnungseintrag vorliegt, so sind sowohl die Lage als auch die Gestaltung im Rahmen der FS mit Brose abzustimmen und entsprechend zu dokumentieren!</v>
      </c>
      <c r="R138" s="854"/>
      <c r="S138" s="854"/>
      <c r="T138" s="854"/>
      <c r="U138" s="854"/>
      <c r="V138" s="854"/>
      <c r="W138" s="854"/>
      <c r="X138" s="854"/>
      <c r="Y138" s="854"/>
      <c r="Z138" s="854"/>
      <c r="AA138" s="854"/>
      <c r="AB138" s="854"/>
      <c r="AH138" s="185"/>
      <c r="AI138" s="418"/>
      <c r="AJ138" s="422"/>
      <c r="AK138" s="422" t="b">
        <v>0</v>
      </c>
      <c r="AL138" s="423"/>
      <c r="AM138" s="421"/>
      <c r="AN138" s="421"/>
    </row>
    <row r="139" spans="2:40" ht="20.45" customHeight="1" x14ac:dyDescent="0.2">
      <c r="B139" s="207"/>
      <c r="M139" s="181"/>
      <c r="O139" s="181"/>
      <c r="P139" s="752"/>
      <c r="Q139" s="855"/>
      <c r="R139" s="855"/>
      <c r="S139" s="855"/>
      <c r="T139" s="855"/>
      <c r="U139" s="855"/>
      <c r="V139" s="855"/>
      <c r="W139" s="855"/>
      <c r="X139" s="855"/>
      <c r="Y139" s="855"/>
      <c r="Z139" s="855"/>
      <c r="AA139" s="855"/>
      <c r="AB139" s="855"/>
      <c r="AH139" s="185"/>
      <c r="AI139" s="422" t="s">
        <v>2846</v>
      </c>
      <c r="AJ139" s="422" t="s">
        <v>2847</v>
      </c>
      <c r="AK139" s="424" t="b">
        <f>FALSE</f>
        <v>0</v>
      </c>
      <c r="AL139" s="424" t="b">
        <f>FALSE</f>
        <v>0</v>
      </c>
      <c r="AM139" s="421"/>
      <c r="AN139" s="421"/>
    </row>
    <row r="140" spans="2:40" ht="19.5" customHeight="1" x14ac:dyDescent="0.2">
      <c r="B140" s="755" t="str">
        <f>HLOOKUP('4 Language'!$B$2,'4 Language'!$C$12:$H$170,133)</f>
        <v>Insert- / Outsert Teile</v>
      </c>
      <c r="C140" s="219"/>
      <c r="D140" s="219"/>
      <c r="E140" s="219"/>
      <c r="F140" s="202"/>
      <c r="G140" s="202"/>
      <c r="H140" s="202"/>
      <c r="I140" s="202"/>
      <c r="J140" s="202"/>
      <c r="K140" s="754" t="str">
        <f>HLOOKUP('4 Language'!$B$2,'4 Language'!$C$12:$H$307,9)</f>
        <v>ja</v>
      </c>
      <c r="L140" s="753"/>
      <c r="M140" s="754" t="str">
        <f>HLOOKUP('4 Language'!$B$2,'4 Language'!$C$12:$H$307,10)</f>
        <v>nein</v>
      </c>
      <c r="N140" s="753"/>
      <c r="O140" s="228"/>
      <c r="P140" s="202"/>
      <c r="Q140" s="202"/>
      <c r="R140" s="202"/>
      <c r="S140" s="202"/>
      <c r="T140" s="202"/>
      <c r="U140" s="202"/>
      <c r="V140" s="202"/>
      <c r="W140" s="202"/>
      <c r="X140" s="202"/>
      <c r="Y140" s="202"/>
      <c r="Z140" s="202"/>
      <c r="AA140" s="202"/>
      <c r="AB140" s="202"/>
      <c r="AH140" s="185"/>
      <c r="AI140" s="422" t="s">
        <v>2849</v>
      </c>
      <c r="AJ140" s="422" t="s">
        <v>2848</v>
      </c>
      <c r="AK140" s="424" t="b">
        <v>0</v>
      </c>
      <c r="AL140" s="424" t="b">
        <v>0</v>
      </c>
    </row>
    <row r="141" spans="2:40" ht="20.45" customHeight="1" x14ac:dyDescent="0.2">
      <c r="B141" s="512" t="str">
        <f>"* "&amp;HLOOKUP('4 Language'!$B$2,'4 Language'!$C$12:$H$307,134)</f>
        <v>* Einleger prozeßsicher vorgewärmt?</v>
      </c>
      <c r="C141" s="514"/>
      <c r="D141" s="514"/>
      <c r="E141" s="512"/>
      <c r="F141" s="514"/>
      <c r="G141" s="518"/>
      <c r="H141" s="518"/>
      <c r="I141" s="518"/>
      <c r="J141" s="530"/>
      <c r="K141" s="519" t="str">
        <f>HLOOKUP('4 Language'!$B$2,'4 Language'!$C$12:$H$307,9)</f>
        <v>ja</v>
      </c>
      <c r="L141" s="514"/>
      <c r="M141" s="519" t="str">
        <f>HLOOKUP('4 Language'!$B$2,'4 Language'!$C$12:$H$307,10)</f>
        <v>nein</v>
      </c>
      <c r="N141" s="514"/>
      <c r="O141" s="531"/>
      <c r="P141" s="512" t="str">
        <f>HLOOKUP('4 Language'!$B$2,'4 Language'!$C$12:$H$170,137)</f>
        <v>Werden die Einlegeteile im Vorfeld entfettet?</v>
      </c>
      <c r="Q141" s="513"/>
      <c r="R141" s="514"/>
      <c r="S141" s="512"/>
      <c r="T141" s="514"/>
      <c r="U141" s="518"/>
      <c r="V141" s="518"/>
      <c r="W141" s="518"/>
      <c r="X141" s="530"/>
      <c r="Y141" s="532" t="str">
        <f>HLOOKUP('4 Language'!$B$2,'4 Language'!$C$12:$H$307,9)</f>
        <v>ja</v>
      </c>
      <c r="Z141" s="514"/>
      <c r="AA141" s="532" t="str">
        <f>HLOOKUP('4 Language'!$B$2,'4 Language'!$C$12:$H$307,10)</f>
        <v>nein</v>
      </c>
      <c r="AB141" s="514"/>
      <c r="AH141" s="185"/>
      <c r="AI141" s="422" t="s">
        <v>1660</v>
      </c>
      <c r="AJ141" s="422" t="s">
        <v>1659</v>
      </c>
      <c r="AK141" s="424" t="b">
        <f>FALSE</f>
        <v>0</v>
      </c>
      <c r="AL141" s="424" t="b">
        <f>FALSE</f>
        <v>0</v>
      </c>
    </row>
    <row r="142" spans="2:40" ht="19.5" customHeight="1" x14ac:dyDescent="0.2">
      <c r="B142" s="495" t="s">
        <v>108</v>
      </c>
      <c r="C142" s="850"/>
      <c r="D142" s="850"/>
      <c r="E142" s="850"/>
      <c r="F142" s="850"/>
      <c r="G142" s="850"/>
      <c r="H142" s="850"/>
      <c r="I142" s="850"/>
      <c r="J142" s="850"/>
      <c r="K142" s="850"/>
      <c r="L142" s="850"/>
      <c r="M142" s="850"/>
      <c r="N142" s="850"/>
      <c r="O142" s="533"/>
      <c r="P142" s="495" t="s">
        <v>108</v>
      </c>
      <c r="Q142" s="850"/>
      <c r="R142" s="850"/>
      <c r="S142" s="850"/>
      <c r="T142" s="850"/>
      <c r="U142" s="850"/>
      <c r="V142" s="850"/>
      <c r="W142" s="850"/>
      <c r="X142" s="850"/>
      <c r="Y142" s="850"/>
      <c r="Z142" s="850"/>
      <c r="AA142" s="850"/>
      <c r="AB142" s="850"/>
      <c r="AH142" s="185"/>
      <c r="AI142" s="422" t="s">
        <v>1661</v>
      </c>
      <c r="AJ142" s="422" t="s">
        <v>1662</v>
      </c>
      <c r="AK142" s="424" t="b">
        <f>FALSE</f>
        <v>0</v>
      </c>
      <c r="AL142" s="424" t="b">
        <f>FALSE</f>
        <v>0</v>
      </c>
    </row>
    <row r="143" spans="2:40" ht="20.45" customHeight="1" x14ac:dyDescent="0.2">
      <c r="B143" s="495" t="str">
        <f>"* "&amp;HLOOKUP('4 Language'!$B$2,'4 Language'!$C$12:$H$307,135)</f>
        <v>* Vorwärmtemperatur beim Einlegen in die Kavität</v>
      </c>
      <c r="C143" s="511"/>
      <c r="D143" s="500"/>
      <c r="E143" s="495"/>
      <c r="F143" s="500"/>
      <c r="G143" s="510"/>
      <c r="H143" s="510"/>
      <c r="I143" s="510"/>
      <c r="J143" s="510"/>
      <c r="K143" s="496"/>
      <c r="L143" s="842"/>
      <c r="M143" s="842"/>
      <c r="N143" s="510" t="s">
        <v>103</v>
      </c>
      <c r="O143" s="533"/>
      <c r="P143" s="495" t="str">
        <f>HLOOKUP('4 Language'!$B$2,'4 Language'!$C$12:$H$170,138)</f>
        <v>Erfolgt eine Prüfung der Einlegeteile?</v>
      </c>
      <c r="Q143" s="510"/>
      <c r="R143" s="510"/>
      <c r="S143" s="510"/>
      <c r="T143" s="510"/>
      <c r="U143" s="510"/>
      <c r="V143" s="510"/>
      <c r="W143" s="510"/>
      <c r="X143" s="496"/>
      <c r="Y143" s="502" t="str">
        <f>HLOOKUP('4 Language'!$B$2,'4 Language'!$C$12:$H$307,9)</f>
        <v>ja</v>
      </c>
      <c r="Z143" s="500"/>
      <c r="AA143" s="502" t="str">
        <f>HLOOKUP('4 Language'!$B$2,'4 Language'!$C$12:$H$307,10)</f>
        <v>nein</v>
      </c>
      <c r="AB143" s="500"/>
      <c r="AH143" s="185"/>
      <c r="AI143" s="422" t="s">
        <v>1664</v>
      </c>
      <c r="AJ143" s="422" t="s">
        <v>1663</v>
      </c>
      <c r="AK143" s="424" t="b">
        <f>FALSE</f>
        <v>0</v>
      </c>
      <c r="AL143" s="424" t="b">
        <f>FALSE</f>
        <v>0</v>
      </c>
    </row>
    <row r="144" spans="2:40" ht="20.45" customHeight="1" x14ac:dyDescent="0.2">
      <c r="B144" s="495" t="str">
        <f>"* "&amp;HLOOKUP('4 Language'!$B$2,'4 Language'!$C$12:$H$307,136)</f>
        <v>* Einleger entgratet / partiell abgeprägt?</v>
      </c>
      <c r="C144" s="511"/>
      <c r="D144" s="500"/>
      <c r="E144" s="495"/>
      <c r="F144" s="500"/>
      <c r="G144" s="510"/>
      <c r="H144" s="510"/>
      <c r="I144" s="510"/>
      <c r="J144" s="496"/>
      <c r="K144" s="509" t="str">
        <f>HLOOKUP('4 Language'!$B$2,'4 Language'!$C$12:$H$307,9)</f>
        <v>ja</v>
      </c>
      <c r="L144" s="500"/>
      <c r="M144" s="509" t="str">
        <f>HLOOKUP('4 Language'!$B$2,'4 Language'!$C$12:$H$307,10)</f>
        <v>nein</v>
      </c>
      <c r="N144" s="500"/>
      <c r="O144" s="533"/>
      <c r="P144" s="495" t="s">
        <v>108</v>
      </c>
      <c r="Q144" s="850"/>
      <c r="R144" s="850"/>
      <c r="S144" s="850"/>
      <c r="T144" s="850"/>
      <c r="U144" s="850"/>
      <c r="V144" s="850"/>
      <c r="W144" s="850"/>
      <c r="X144" s="850"/>
      <c r="Y144" s="850"/>
      <c r="Z144" s="850"/>
      <c r="AA144" s="850"/>
      <c r="AB144" s="850"/>
      <c r="AH144" s="185"/>
      <c r="AI144" s="422" t="s">
        <v>1665</v>
      </c>
      <c r="AJ144" s="422" t="s">
        <v>1666</v>
      </c>
      <c r="AK144" s="424" t="b">
        <v>0</v>
      </c>
      <c r="AL144" s="424" t="b">
        <f>FALSE</f>
        <v>0</v>
      </c>
    </row>
    <row r="145" spans="1:55" ht="9" customHeight="1" x14ac:dyDescent="0.2">
      <c r="AH145" s="185"/>
    </row>
    <row r="146" spans="1:55" ht="19.5" customHeight="1" x14ac:dyDescent="0.2">
      <c r="B146" s="755" t="str">
        <f>HLOOKUP('4 Language'!$B$2,'4 Language'!$C$12:$H$307,139)</f>
        <v>Konditionierung von Polyamiden</v>
      </c>
      <c r="C146" s="219"/>
      <c r="D146" s="219"/>
      <c r="E146" s="219"/>
      <c r="F146" s="202"/>
      <c r="G146" s="202"/>
      <c r="H146" s="202"/>
      <c r="I146" s="202"/>
      <c r="J146" s="202"/>
      <c r="K146" s="754" t="str">
        <f>HLOOKUP('4 Language'!$B$2,'4 Language'!$C$12:$H$307,9)</f>
        <v>ja</v>
      </c>
      <c r="L146" s="753"/>
      <c r="M146" s="754" t="str">
        <f>HLOOKUP('4 Language'!$B$2,'4 Language'!$C$12:$H$307,10)</f>
        <v>nein</v>
      </c>
      <c r="N146" s="753"/>
      <c r="O146" s="222"/>
      <c r="P146" s="201" t="str">
        <f>HLOOKUP('4 Language'!$B$2,'4 Language'!$C$12:$H$307,148)</f>
        <v>Bemerkungen / Weitere nachfolgende Arbeitsgänge</v>
      </c>
      <c r="Q146" s="202"/>
      <c r="R146" s="202"/>
      <c r="S146" s="223"/>
      <c r="T146" s="223"/>
      <c r="U146" s="224"/>
      <c r="V146" s="223"/>
      <c r="W146" s="223"/>
      <c r="X146" s="223"/>
      <c r="Y146" s="223"/>
      <c r="Z146" s="223"/>
      <c r="AA146" s="223"/>
      <c r="AB146" s="223"/>
      <c r="AH146" s="185"/>
      <c r="AI146" s="422" t="s">
        <v>2851</v>
      </c>
      <c r="AJ146" s="422" t="s">
        <v>2850</v>
      </c>
      <c r="AK146" s="424" t="b">
        <v>0</v>
      </c>
      <c r="AL146" s="424" t="b">
        <v>0</v>
      </c>
    </row>
    <row r="147" spans="1:55" ht="20.45" customHeight="1" x14ac:dyDescent="0.2">
      <c r="B147" s="512" t="str">
        <f>"* "&amp;HLOOKUP('4 Language'!$B$2,'4 Language'!$C$12:$H$307,140)</f>
        <v>* Werden die Bauteile konditioniert?</v>
      </c>
      <c r="C147" s="513"/>
      <c r="D147" s="514"/>
      <c r="E147" s="512"/>
      <c r="F147" s="514"/>
      <c r="G147" s="518"/>
      <c r="H147" s="518"/>
      <c r="I147" s="518"/>
      <c r="J147" s="530"/>
      <c r="K147" s="519" t="str">
        <f>HLOOKUP('4 Language'!$B$2,'4 Language'!$C$12:$H$307,9)</f>
        <v>ja</v>
      </c>
      <c r="L147" s="514"/>
      <c r="M147" s="519" t="str">
        <f>HLOOKUP('4 Language'!$B$2,'4 Language'!$C$12:$H$307,10)</f>
        <v>nein</v>
      </c>
      <c r="N147" s="514"/>
      <c r="O147" s="229"/>
      <c r="P147" s="505" t="str">
        <f>HLOOKUP('4 Language'!$B$2,'4 Language'!$C$12:$H$307,149)</f>
        <v>Bitte hier nachfolgende Arbeitsgänge näher ausführen.</v>
      </c>
      <c r="Q147" s="505"/>
      <c r="R147" s="505"/>
      <c r="S147" s="505"/>
      <c r="T147" s="505"/>
      <c r="U147" s="505"/>
      <c r="V147" s="505"/>
      <c r="W147" s="505"/>
      <c r="X147" s="505"/>
      <c r="Y147" s="505"/>
      <c r="Z147" s="505"/>
      <c r="AA147" s="505"/>
      <c r="AB147" s="505"/>
      <c r="AH147" s="185"/>
      <c r="AI147" s="422" t="s">
        <v>1669</v>
      </c>
      <c r="AJ147" s="422" t="s">
        <v>1671</v>
      </c>
      <c r="AK147" s="424" t="b">
        <f>FALSE</f>
        <v>0</v>
      </c>
      <c r="AL147" s="424" t="b">
        <f>FALSE</f>
        <v>0</v>
      </c>
    </row>
    <row r="148" spans="1:55" ht="19.5" customHeight="1" x14ac:dyDescent="0.2">
      <c r="B148" s="511" t="str">
        <f>"* "&amp;HLOOKUP('4 Language'!$B$2,'4 Language'!$C$12:$H$307,141)</f>
        <v xml:space="preserve">* Auf welche Weise </v>
      </c>
      <c r="C148" s="511"/>
      <c r="D148" s="500"/>
      <c r="E148" s="495"/>
      <c r="F148" s="500" t="str">
        <f>HLOOKUP('4 Language'!$B$2,'4 Language'!$C$12:$H$307,142)</f>
        <v>Nähere Ausführung bitte im Kommentarfeld rechts.</v>
      </c>
      <c r="G148" s="510"/>
      <c r="H148" s="510"/>
      <c r="I148" s="495"/>
      <c r="J148" s="495"/>
      <c r="K148" s="495"/>
      <c r="L148" s="495"/>
      <c r="M148" s="495"/>
      <c r="N148" s="495"/>
      <c r="O148" s="229"/>
      <c r="P148" s="517"/>
      <c r="Q148" s="851"/>
      <c r="R148" s="851"/>
      <c r="S148" s="851"/>
      <c r="T148" s="851"/>
      <c r="U148" s="851"/>
      <c r="V148" s="851"/>
      <c r="W148" s="851"/>
      <c r="X148" s="851"/>
      <c r="Y148" s="851"/>
      <c r="Z148" s="851"/>
      <c r="AA148" s="851"/>
      <c r="AB148" s="851"/>
      <c r="AH148" s="185"/>
      <c r="AI148" s="422" t="s">
        <v>1670</v>
      </c>
      <c r="AJ148" s="422" t="s">
        <v>1672</v>
      </c>
      <c r="AK148" s="424" t="b">
        <f>FALSE</f>
        <v>0</v>
      </c>
      <c r="AL148" s="424" t="b">
        <f>FALSE</f>
        <v>0</v>
      </c>
    </row>
    <row r="149" spans="1:55" ht="19.5" customHeight="1" x14ac:dyDescent="0.2">
      <c r="B149" s="511" t="str">
        <f>"* "&amp;HLOOKUP('4 Language'!$B$2,'4 Language'!$C$12:$H$307,143)</f>
        <v>* Wieviel Gewichtsprozent Feuchtigkeitsaufnahme?</v>
      </c>
      <c r="C149" s="511"/>
      <c r="D149" s="500"/>
      <c r="E149" s="495"/>
      <c r="F149" s="500"/>
      <c r="G149" s="510"/>
      <c r="H149" s="510"/>
      <c r="I149" s="510"/>
      <c r="J149" s="510"/>
      <c r="K149" s="510"/>
      <c r="L149" s="792"/>
      <c r="M149" s="792"/>
      <c r="N149" s="510" t="s">
        <v>136</v>
      </c>
      <c r="O149" s="229"/>
      <c r="P149" s="230"/>
      <c r="Q149" s="852"/>
      <c r="R149" s="852"/>
      <c r="S149" s="852"/>
      <c r="T149" s="852"/>
      <c r="U149" s="852"/>
      <c r="V149" s="852"/>
      <c r="W149" s="852"/>
      <c r="X149" s="852"/>
      <c r="Y149" s="852"/>
      <c r="Z149" s="852"/>
      <c r="AA149" s="852"/>
      <c r="AB149" s="852"/>
      <c r="AH149" s="185"/>
      <c r="AI149" s="422" t="s">
        <v>1668</v>
      </c>
      <c r="AJ149" s="422" t="s">
        <v>1667</v>
      </c>
      <c r="AK149" s="424" t="b">
        <f>FALSE</f>
        <v>0</v>
      </c>
      <c r="AL149" s="424" t="b">
        <f>FALSE</f>
        <v>0</v>
      </c>
    </row>
    <row r="150" spans="1:55" ht="20.45" customHeight="1" x14ac:dyDescent="0.2">
      <c r="B150" s="511" t="str">
        <f>"* "&amp;HLOOKUP('4 Language'!$B$2,'4 Language'!$C$12:$H$307,144)</f>
        <v>* Wird dieser Wert überprüft?</v>
      </c>
      <c r="C150" s="511"/>
      <c r="D150" s="500"/>
      <c r="E150" s="495"/>
      <c r="F150" s="500"/>
      <c r="G150" s="510"/>
      <c r="H150" s="510"/>
      <c r="I150" s="510"/>
      <c r="J150" s="496"/>
      <c r="K150" s="509" t="str">
        <f>HLOOKUP('4 Language'!$B$2,'4 Language'!$C$12:$H$307,9)</f>
        <v>ja</v>
      </c>
      <c r="L150" s="500"/>
      <c r="M150" s="509" t="str">
        <f>HLOOKUP('4 Language'!$B$2,'4 Language'!$C$12:$H$307,10)</f>
        <v>nein</v>
      </c>
      <c r="N150" s="500"/>
      <c r="O150" s="229"/>
      <c r="P150" s="594"/>
      <c r="Q150" s="852"/>
      <c r="R150" s="852"/>
      <c r="S150" s="852"/>
      <c r="T150" s="852"/>
      <c r="U150" s="852"/>
      <c r="V150" s="852"/>
      <c r="W150" s="852"/>
      <c r="X150" s="852"/>
      <c r="Y150" s="852"/>
      <c r="Z150" s="852"/>
      <c r="AA150" s="852"/>
      <c r="AB150" s="852"/>
      <c r="AH150" s="185"/>
    </row>
    <row r="151" spans="1:55" ht="20.45" customHeight="1" x14ac:dyDescent="0.2">
      <c r="B151" s="511" t="str">
        <f>"* "&amp;HLOOKUP('4 Language'!$B$2,'4 Language'!$C$12:$H$307,145)</f>
        <v>* Wie erfolgt die Prüfung?</v>
      </c>
      <c r="C151" s="511"/>
      <c r="D151" s="500"/>
      <c r="E151" s="495"/>
      <c r="F151" s="500"/>
      <c r="G151" s="510"/>
      <c r="H151" s="510"/>
      <c r="I151" s="495"/>
      <c r="J151" s="856"/>
      <c r="K151" s="856"/>
      <c r="L151" s="856"/>
      <c r="M151" s="856"/>
      <c r="N151" s="856"/>
      <c r="O151" s="229"/>
      <c r="P151" s="534" t="str">
        <f>"* "&amp;HLOOKUP('4 Language'!$B$2,'4 Language'!$C$12:$H$307,146)</f>
        <v>* Bemusterung &amp; Fertigung nach BN 590794? *¹</v>
      </c>
      <c r="Q151" s="535"/>
      <c r="R151" s="535"/>
      <c r="S151" s="535"/>
      <c r="T151" s="535"/>
      <c r="U151" s="535"/>
      <c r="V151" s="535"/>
      <c r="W151" s="535"/>
      <c r="X151" s="535"/>
      <c r="Y151" s="536" t="str">
        <f>HLOOKUP('4 Language'!$B$2,'4 Language'!$C$12:$H$307,9)</f>
        <v>ja</v>
      </c>
      <c r="Z151" s="537"/>
      <c r="AA151" s="536" t="str">
        <f>HLOOKUP('4 Language'!$B$2,'4 Language'!$C$12:$H$307,10)</f>
        <v>nein</v>
      </c>
      <c r="AB151" s="537"/>
      <c r="AH151" s="185"/>
    </row>
    <row r="152" spans="1:55" ht="19.5" customHeight="1" x14ac:dyDescent="0.2">
      <c r="B152" s="511" t="s">
        <v>108</v>
      </c>
      <c r="C152" s="850"/>
      <c r="D152" s="850"/>
      <c r="E152" s="850"/>
      <c r="F152" s="850"/>
      <c r="G152" s="850"/>
      <c r="H152" s="850"/>
      <c r="I152" s="850"/>
      <c r="J152" s="850"/>
      <c r="K152" s="850"/>
      <c r="L152" s="850"/>
      <c r="M152" s="850"/>
      <c r="N152" s="850"/>
      <c r="O152" s="229"/>
      <c r="P152" s="171" t="s">
        <v>132</v>
      </c>
      <c r="Q152" s="215" t="str">
        <f>HLOOKUP('4 Language'!$B$2,'4 Language'!$C$12:$H$307,147)</f>
        <v>Norm: Konditionieren von Polyamiden  BN 590794-xxx</v>
      </c>
      <c r="AH152" s="185"/>
    </row>
    <row r="153" spans="1:55" ht="9" customHeight="1" x14ac:dyDescent="0.2">
      <c r="B153" s="231"/>
      <c r="C153" s="231"/>
      <c r="D153" s="215"/>
      <c r="E153" s="207"/>
      <c r="F153" s="215"/>
      <c r="G153" s="217"/>
      <c r="H153" s="217"/>
      <c r="I153" s="217"/>
      <c r="J153" s="217"/>
      <c r="K153" s="217"/>
      <c r="L153" s="217"/>
      <c r="M153" s="217"/>
      <c r="N153" s="217"/>
      <c r="O153" s="232"/>
      <c r="AH153" s="185"/>
    </row>
    <row r="154" spans="1:55" ht="19.5" customHeight="1" x14ac:dyDescent="0.2">
      <c r="B154" s="201" t="str">
        <f>HLOOKUP('4 Language'!$B$2,'4 Language'!$C$12:$H$307,150)</f>
        <v>Handling / Qualität</v>
      </c>
      <c r="C154" s="219"/>
      <c r="D154" s="219"/>
      <c r="E154" s="219"/>
      <c r="F154" s="202"/>
      <c r="G154" s="202"/>
      <c r="H154" s="202"/>
      <c r="I154" s="202"/>
      <c r="J154" s="202"/>
      <c r="K154" s="202"/>
      <c r="L154" s="202"/>
      <c r="M154" s="221"/>
      <c r="N154" s="202"/>
      <c r="O154" s="222"/>
      <c r="P154" s="202"/>
      <c r="Q154" s="202"/>
      <c r="R154" s="202"/>
      <c r="S154" s="223"/>
      <c r="T154" s="223"/>
      <c r="U154" s="224"/>
      <c r="V154" s="223"/>
      <c r="W154" s="223"/>
      <c r="X154" s="223"/>
      <c r="Y154" s="223"/>
      <c r="Z154" s="223"/>
      <c r="AA154" s="223"/>
      <c r="AB154" s="223"/>
      <c r="AH154" s="185"/>
    </row>
    <row r="155" spans="1:55" ht="20.45" customHeight="1" x14ac:dyDescent="0.2">
      <c r="B155" s="513" t="str">
        <f>"* "&amp;HLOOKUP('4 Language'!$B$2,'4 Language'!$C$12:$H$307,151)</f>
        <v xml:space="preserve">* Bauteilentnahme </v>
      </c>
      <c r="C155" s="518"/>
      <c r="D155" s="518"/>
      <c r="E155" s="518"/>
      <c r="F155" s="518"/>
      <c r="G155" s="518"/>
      <c r="H155" s="518"/>
      <c r="I155" s="518"/>
      <c r="J155" s="518"/>
      <c r="K155" s="518"/>
      <c r="L155" s="518"/>
      <c r="M155" s="518"/>
      <c r="N155" s="538"/>
      <c r="O155" s="229"/>
      <c r="P155" s="530" t="str">
        <f>"* "&amp;HLOOKUP('4 Language'!$B$2,'4 Language'!$C$12:$H$307,187)</f>
        <v>* Sind Grenzporositäten definiert [Zeichnung]?</v>
      </c>
      <c r="Q155" s="530"/>
      <c r="R155" s="530"/>
      <c r="S155" s="530"/>
      <c r="T155" s="530"/>
      <c r="U155" s="530"/>
      <c r="V155" s="530"/>
      <c r="W155" s="530"/>
      <c r="X155" s="530"/>
      <c r="Y155" s="519" t="str">
        <f>HLOOKUP('4 Language'!$B$2,'4 Language'!$C$12:$H$307,9)</f>
        <v>ja</v>
      </c>
      <c r="Z155" s="514"/>
      <c r="AA155" s="519" t="str">
        <f>HLOOKUP('4 Language'!$B$2,'4 Language'!$C$12:$H$307,10)</f>
        <v>nein</v>
      </c>
      <c r="AB155" s="514"/>
      <c r="AH155" s="185"/>
      <c r="AI155" s="422" t="s">
        <v>1673</v>
      </c>
      <c r="AJ155" s="422" t="s">
        <v>1674</v>
      </c>
      <c r="AK155" s="424" t="b">
        <f>FALSE</f>
        <v>0</v>
      </c>
      <c r="AL155" s="424" t="b">
        <f>FALSE</f>
        <v>0</v>
      </c>
    </row>
    <row r="156" spans="1:55" ht="20.45" customHeight="1" x14ac:dyDescent="0.2">
      <c r="B156" s="539" t="str">
        <f>"* "&amp;HLOOKUP('4 Language'!$B$2,'4 Language'!$C$12:$H$307,152)</f>
        <v>* Aussortierung von Anfahrteilen und NIO-Teilen</v>
      </c>
      <c r="C156" s="540"/>
      <c r="D156" s="540"/>
      <c r="E156" s="540"/>
      <c r="F156" s="540"/>
      <c r="G156" s="540"/>
      <c r="H156" s="540"/>
      <c r="I156" s="540"/>
      <c r="J156" s="496"/>
      <c r="K156" s="509" t="str">
        <f>HLOOKUP('4 Language'!$B$2,'4 Language'!$C$12:$H$307,9)</f>
        <v>ja</v>
      </c>
      <c r="L156" s="500"/>
      <c r="M156" s="509" t="str">
        <f>HLOOKUP('4 Language'!$B$2,'4 Language'!$C$12:$H$307,10)</f>
        <v>nein</v>
      </c>
      <c r="N156" s="500"/>
      <c r="O156" s="229"/>
      <c r="P156" s="496" t="str">
        <f>"* "&amp;HLOOKUP('4 Language'!$B$2,'4 Language'!$C$12:$H$307,188)</f>
        <v>* Geometrisch bedingte Porosität zu erwarten?</v>
      </c>
      <c r="Q156" s="496"/>
      <c r="R156" s="496"/>
      <c r="S156" s="496"/>
      <c r="T156" s="496"/>
      <c r="U156" s="496"/>
      <c r="V156" s="496"/>
      <c r="W156" s="496"/>
      <c r="X156" s="496"/>
      <c r="Y156" s="509" t="str">
        <f>HLOOKUP('4 Language'!$B$2,'4 Language'!$C$12:$H$307,9)</f>
        <v>ja</v>
      </c>
      <c r="Z156" s="500"/>
      <c r="AA156" s="509" t="str">
        <f>HLOOKUP('4 Language'!$B$2,'4 Language'!$C$12:$H$307,10)</f>
        <v>nein</v>
      </c>
      <c r="AB156" s="500"/>
      <c r="AH156" s="185"/>
      <c r="AI156" s="422" t="s">
        <v>1677</v>
      </c>
      <c r="AJ156" s="422" t="s">
        <v>1676</v>
      </c>
      <c r="AK156" s="424" t="b">
        <f>FALSE</f>
        <v>0</v>
      </c>
      <c r="AL156" s="424" t="b">
        <f>FALSE</f>
        <v>0</v>
      </c>
    </row>
    <row r="157" spans="1:55" ht="19.5" customHeight="1" x14ac:dyDescent="0.2">
      <c r="B157" s="495" t="s">
        <v>108</v>
      </c>
      <c r="C157" s="849"/>
      <c r="D157" s="849"/>
      <c r="E157" s="849"/>
      <c r="F157" s="849"/>
      <c r="G157" s="849"/>
      <c r="H157" s="849"/>
      <c r="I157" s="849"/>
      <c r="J157" s="849"/>
      <c r="K157" s="849"/>
      <c r="L157" s="849"/>
      <c r="M157" s="849"/>
      <c r="N157" s="849"/>
      <c r="O157" s="229"/>
      <c r="P157" s="500" t="str">
        <f>HLOOKUP('4 Language'!$B$2,'4 Language'!$C$12:$H$307,189)</f>
        <v>Betreffende Bereiche / resultierende Maßnahmen sind  mit Brose abzustimmen.</v>
      </c>
      <c r="Q157" s="496"/>
      <c r="R157" s="496"/>
      <c r="S157" s="496"/>
      <c r="T157" s="496"/>
      <c r="U157" s="496"/>
      <c r="V157" s="496"/>
      <c r="W157" s="496"/>
      <c r="X157" s="496"/>
      <c r="Y157" s="496"/>
      <c r="Z157" s="496"/>
      <c r="AA157" s="496"/>
      <c r="AB157" s="496"/>
      <c r="AH157" s="185"/>
      <c r="AI157" s="422" t="s">
        <v>1675</v>
      </c>
      <c r="AJ157" s="422" t="s">
        <v>1674</v>
      </c>
      <c r="AK157" s="424" t="b">
        <f>FALSE</f>
        <v>0</v>
      </c>
      <c r="AL157" s="424" t="b">
        <f>FALSE</f>
        <v>0</v>
      </c>
    </row>
    <row r="158" spans="1:55" ht="20.45" customHeight="1" x14ac:dyDescent="0.2">
      <c r="B158" s="511" t="str">
        <f>"* "&amp;HLOOKUP('4 Language'!$B$2,'4 Language'!$C$12:$H$307,153)</f>
        <v>* Fließband</v>
      </c>
      <c r="C158" s="510"/>
      <c r="D158" s="510"/>
      <c r="E158" s="510"/>
      <c r="F158" s="510"/>
      <c r="G158" s="510"/>
      <c r="H158" s="510"/>
      <c r="I158" s="510"/>
      <c r="J158" s="496"/>
      <c r="K158" s="509" t="str">
        <f>HLOOKUP('4 Language'!$B$2,'4 Language'!$C$12:$H$307,9)</f>
        <v>ja</v>
      </c>
      <c r="L158" s="500"/>
      <c r="M158" s="509" t="str">
        <f>HLOOKUP('4 Language'!$B$2,'4 Language'!$C$12:$H$307,10)</f>
        <v>nein</v>
      </c>
      <c r="N158" s="500"/>
      <c r="O158" s="229"/>
      <c r="P158" s="495" t="str">
        <f>"* "&amp;HLOOKUP('4 Language'!$B$2,'4 Language'!$C$12:$H$307,159)</f>
        <v>* Ist die Bauteilanalyse mittels CT erforderlich?</v>
      </c>
      <c r="Q158" s="510"/>
      <c r="R158" s="510"/>
      <c r="S158" s="510"/>
      <c r="T158" s="510"/>
      <c r="U158" s="510"/>
      <c r="V158" s="510"/>
      <c r="W158" s="510"/>
      <c r="X158" s="496"/>
      <c r="Y158" s="509" t="str">
        <f>HLOOKUP('4 Language'!$B$2,'4 Language'!$C$12:$H$307,9)</f>
        <v>ja</v>
      </c>
      <c r="Z158" s="500"/>
      <c r="AA158" s="509" t="str">
        <f>HLOOKUP('4 Language'!$B$2,'4 Language'!$C$12:$H$307,10)</f>
        <v>nein</v>
      </c>
      <c r="AB158" s="500"/>
      <c r="AH158" s="185"/>
      <c r="AI158" s="422" t="s">
        <v>1678</v>
      </c>
      <c r="AJ158" s="422" t="s">
        <v>1679</v>
      </c>
      <c r="AK158" s="424" t="b">
        <f>FALSE</f>
        <v>0</v>
      </c>
      <c r="AL158" s="424" t="b">
        <f>FALSE</f>
        <v>0</v>
      </c>
    </row>
    <row r="159" spans="1:55" ht="20.45" customHeight="1" x14ac:dyDescent="0.2">
      <c r="B159" s="511" t="str">
        <f>"* "&amp;HLOOKUP('4 Language'!$B$2,'4 Language'!$C$12:$H$307,154)</f>
        <v>* Sonstige integrierte Qualitätssysteme</v>
      </c>
      <c r="C159" s="511"/>
      <c r="D159" s="500"/>
      <c r="E159" s="495"/>
      <c r="F159" s="500"/>
      <c r="G159" s="510"/>
      <c r="H159" s="510"/>
      <c r="I159" s="510"/>
      <c r="J159" s="510"/>
      <c r="K159" s="510"/>
      <c r="L159" s="510"/>
      <c r="M159" s="510"/>
      <c r="N159" s="510"/>
      <c r="O159" s="229"/>
      <c r="P159" s="495" t="str">
        <f>HLOOKUP('4 Language'!$B$2,'4 Language'!$C$12:$H$307,160)</f>
        <v>Liegt ein CT-Bericht vor?</v>
      </c>
      <c r="Q159" s="510"/>
      <c r="R159" s="510"/>
      <c r="S159" s="510"/>
      <c r="T159" s="510"/>
      <c r="U159" s="510"/>
      <c r="V159" s="510"/>
      <c r="W159" s="510"/>
      <c r="X159" s="496"/>
      <c r="Y159" s="502" t="str">
        <f>HLOOKUP('4 Language'!$B$2,'4 Language'!$C$12:$H$307,9)</f>
        <v>ja</v>
      </c>
      <c r="Z159" s="500"/>
      <c r="AA159" s="502" t="str">
        <f>HLOOKUP('4 Language'!$B$2,'4 Language'!$C$12:$H$307,10)</f>
        <v>nein</v>
      </c>
      <c r="AB159" s="500"/>
      <c r="AH159" s="185"/>
      <c r="AI159" s="422" t="s">
        <v>1680</v>
      </c>
      <c r="AJ159" s="422" t="s">
        <v>1681</v>
      </c>
      <c r="AK159" s="424" t="b">
        <f>FALSE</f>
        <v>0</v>
      </c>
      <c r="AL159" s="424" t="b">
        <f>FALSE</f>
        <v>0</v>
      </c>
    </row>
    <row r="160" spans="1:55" ht="19.5" customHeight="1" x14ac:dyDescent="0.2">
      <c r="A160" s="198"/>
      <c r="B160" s="495" t="s">
        <v>108</v>
      </c>
      <c r="C160" s="849"/>
      <c r="D160" s="849"/>
      <c r="E160" s="849"/>
      <c r="F160" s="849"/>
      <c r="G160" s="849"/>
      <c r="H160" s="849"/>
      <c r="I160" s="849"/>
      <c r="J160" s="849"/>
      <c r="K160" s="849"/>
      <c r="L160" s="849"/>
      <c r="M160" s="849"/>
      <c r="N160" s="849"/>
      <c r="O160" s="229"/>
      <c r="P160" s="517" t="str">
        <f>HLOOKUP('4 Language'!$B$2,'4 Language'!$C$12:$H$307,161)</f>
        <v>Info: Der CT-Bericht ist zum EMPB vorzustellen!</v>
      </c>
      <c r="Q160" s="541"/>
      <c r="R160" s="541"/>
      <c r="S160" s="541"/>
      <c r="T160" s="541"/>
      <c r="U160" s="541"/>
      <c r="V160" s="541"/>
      <c r="W160" s="542"/>
      <c r="X160" s="543"/>
      <c r="Y160" s="542"/>
      <c r="Z160" s="542"/>
      <c r="AA160" s="542"/>
      <c r="AB160" s="544"/>
      <c r="AD160" s="175"/>
      <c r="AE160" s="175"/>
      <c r="AF160" s="175"/>
      <c r="AG160" s="175"/>
      <c r="AH160" s="233"/>
      <c r="AI160" s="422" t="s">
        <v>1683</v>
      </c>
      <c r="AJ160" s="422" t="s">
        <v>1682</v>
      </c>
      <c r="AK160" s="424" t="b">
        <f>FALSE</f>
        <v>0</v>
      </c>
      <c r="AL160" s="424" t="b">
        <f>FALSE</f>
        <v>0</v>
      </c>
      <c r="AM160" s="426"/>
      <c r="AN160" s="426"/>
      <c r="AO160" s="426"/>
      <c r="AP160" s="175"/>
      <c r="AQ160" s="175"/>
      <c r="AR160" s="234"/>
      <c r="AS160" s="234"/>
      <c r="AT160" s="234"/>
      <c r="AU160" s="234"/>
      <c r="AV160" s="234"/>
      <c r="AW160" s="234"/>
      <c r="AX160" s="234"/>
      <c r="AY160" s="234"/>
      <c r="AZ160" s="234"/>
      <c r="BA160" s="234"/>
      <c r="BB160" s="234"/>
      <c r="BC160" s="234"/>
    </row>
    <row r="161" spans="1:55" ht="9.75" customHeight="1" x14ac:dyDescent="0.2">
      <c r="A161" s="198"/>
      <c r="B161" s="215"/>
      <c r="C161" s="215"/>
      <c r="D161" s="215"/>
      <c r="E161" s="215"/>
      <c r="F161" s="215"/>
      <c r="G161" s="215"/>
      <c r="H161" s="215"/>
      <c r="I161" s="215"/>
      <c r="J161" s="215"/>
      <c r="K161" s="215"/>
      <c r="L161" s="215"/>
      <c r="M161" s="215"/>
      <c r="N161" s="215"/>
      <c r="O161" s="595"/>
      <c r="P161" s="236"/>
      <c r="Q161" s="236"/>
      <c r="R161" s="236"/>
      <c r="S161" s="236"/>
      <c r="T161" s="236"/>
      <c r="U161" s="236"/>
      <c r="V161" s="236"/>
      <c r="W161" s="236"/>
      <c r="X161" s="236"/>
      <c r="Y161" s="236"/>
      <c r="Z161" s="215"/>
      <c r="AA161" s="215"/>
      <c r="AB161" s="215"/>
      <c r="AC161" s="215"/>
      <c r="AD161" s="175"/>
      <c r="AE161" s="175"/>
      <c r="AF161" s="175"/>
      <c r="AG161" s="175"/>
      <c r="AH161" s="233"/>
      <c r="AI161" s="426"/>
      <c r="AJ161" s="426"/>
      <c r="AK161" s="426"/>
      <c r="AL161" s="426"/>
      <c r="AM161" s="426"/>
      <c r="AN161" s="426"/>
      <c r="AO161" s="426"/>
      <c r="AP161" s="175"/>
      <c r="AQ161" s="175"/>
      <c r="AR161" s="234"/>
      <c r="AS161" s="234"/>
      <c r="AT161" s="234"/>
      <c r="AU161" s="234"/>
      <c r="AV161" s="234"/>
      <c r="AW161" s="234"/>
      <c r="AX161" s="234"/>
      <c r="AY161" s="234"/>
      <c r="AZ161" s="234"/>
      <c r="BA161" s="234"/>
      <c r="BB161" s="234"/>
      <c r="BC161" s="234"/>
    </row>
    <row r="162" spans="1:55" ht="19.5" customHeight="1" x14ac:dyDescent="0.2">
      <c r="A162" s="198"/>
      <c r="B162" s="592" t="str">
        <f>HLOOKUP('4 Language'!$B$2,'4 Language'!$C$12:$H$307,162)</f>
        <v>Bitte Angaben zum Bearbeiter ergänzen. Hinweis: Wird dieses Dokument über die Online-FS Anwendung im Extranet an Brose gesendet, ist keine Unterschrift erforderlich!</v>
      </c>
      <c r="C162" s="215"/>
      <c r="D162" s="215"/>
      <c r="E162" s="215"/>
      <c r="F162" s="215"/>
      <c r="G162" s="215"/>
      <c r="H162" s="215"/>
      <c r="I162" s="215"/>
      <c r="J162" s="215"/>
      <c r="K162" s="215"/>
      <c r="L162" s="215"/>
      <c r="M162" s="215"/>
      <c r="N162" s="215"/>
      <c r="P162" s="236"/>
      <c r="Q162" s="236"/>
      <c r="R162" s="236"/>
      <c r="S162" s="236"/>
      <c r="T162" s="236"/>
      <c r="U162" s="236"/>
      <c r="V162" s="236"/>
      <c r="W162" s="236"/>
      <c r="X162" s="236"/>
      <c r="Y162" s="236"/>
      <c r="Z162" s="215"/>
      <c r="AA162" s="215"/>
      <c r="AB162" s="215"/>
      <c r="AC162" s="215"/>
      <c r="AD162" s="175"/>
      <c r="AE162" s="175"/>
      <c r="AF162" s="175"/>
      <c r="AG162" s="175"/>
      <c r="AH162" s="233"/>
      <c r="AI162" s="426"/>
      <c r="AJ162" s="426"/>
      <c r="AK162" s="426"/>
      <c r="AL162" s="426"/>
      <c r="AM162" s="426"/>
      <c r="AN162" s="426"/>
      <c r="AO162" s="426"/>
      <c r="AP162" s="175"/>
      <c r="AQ162" s="175"/>
      <c r="AR162" s="234"/>
      <c r="AS162" s="234"/>
      <c r="AT162" s="234"/>
      <c r="AU162" s="234"/>
      <c r="AV162" s="234"/>
      <c r="AW162" s="234"/>
      <c r="AX162" s="234"/>
      <c r="AY162" s="234"/>
      <c r="AZ162" s="234"/>
      <c r="BA162" s="234"/>
      <c r="BB162" s="234"/>
      <c r="BC162" s="234"/>
    </row>
    <row r="163" spans="1:55" ht="24.95" customHeight="1" x14ac:dyDescent="0.2">
      <c r="A163" s="198"/>
      <c r="B163" s="841"/>
      <c r="C163" s="841"/>
      <c r="D163" s="841"/>
      <c r="E163" s="841"/>
      <c r="F163" s="841"/>
      <c r="G163" s="841"/>
      <c r="H163" s="229"/>
      <c r="I163" s="841"/>
      <c r="J163" s="841"/>
      <c r="K163" s="841"/>
      <c r="L163" s="841"/>
      <c r="M163" s="841"/>
      <c r="N163" s="841"/>
      <c r="P163" s="846"/>
      <c r="Q163" s="847"/>
      <c r="R163" s="847"/>
      <c r="S163" s="847"/>
      <c r="T163" s="847"/>
      <c r="U163" s="847"/>
      <c r="W163" s="841"/>
      <c r="X163" s="841"/>
      <c r="Y163" s="841"/>
      <c r="Z163" s="841"/>
      <c r="AA163" s="841"/>
      <c r="AB163" s="841"/>
      <c r="AD163" s="175"/>
      <c r="AE163" s="175"/>
      <c r="AF163" s="175"/>
      <c r="AG163" s="175"/>
      <c r="AH163" s="233"/>
      <c r="AI163" s="426"/>
      <c r="AJ163" s="426"/>
      <c r="AK163" s="426"/>
      <c r="AL163" s="426"/>
      <c r="AM163" s="426"/>
      <c r="AN163" s="426"/>
      <c r="AO163" s="426"/>
      <c r="AP163" s="175"/>
      <c r="AQ163" s="175"/>
      <c r="AR163" s="234"/>
      <c r="AS163" s="234"/>
      <c r="AT163" s="234"/>
      <c r="AU163" s="234"/>
      <c r="AV163" s="234"/>
      <c r="AW163" s="234"/>
      <c r="AX163" s="234"/>
      <c r="AY163" s="234"/>
      <c r="AZ163" s="234"/>
      <c r="BA163" s="234"/>
      <c r="BB163" s="234"/>
      <c r="BC163" s="234"/>
    </row>
    <row r="164" spans="1:55" ht="12.75" customHeight="1" x14ac:dyDescent="0.2">
      <c r="A164" s="198"/>
      <c r="B164" s="237" t="str">
        <f>HLOOKUP('4 Language'!$B$2,'4 Language'!$C$12:$H$307,163)</f>
        <v>Funktion</v>
      </c>
      <c r="I164" s="237" t="str">
        <f>HLOOKUP('4 Language'!$B$2,'4 Language'!$C$12:$H$307,164)</f>
        <v>Name</v>
      </c>
      <c r="J164" s="189"/>
      <c r="P164" s="237" t="str">
        <f>HLOOKUP('4 Language'!$B$2,'4 Language'!$C$12:$H$307,165)</f>
        <v>Datum</v>
      </c>
      <c r="W164" s="237" t="str">
        <f>HLOOKUP('4 Language'!$B$2,'4 Language'!$C$12:$H$307,166)</f>
        <v>Unterschrift</v>
      </c>
      <c r="AD164" s="175"/>
      <c r="AE164" s="175"/>
      <c r="AF164" s="175"/>
      <c r="AG164" s="175"/>
      <c r="AH164" s="233"/>
      <c r="AI164" s="426"/>
      <c r="AJ164" s="426"/>
      <c r="AK164" s="426"/>
      <c r="AL164" s="426"/>
      <c r="AM164" s="426"/>
      <c r="AN164" s="426"/>
      <c r="AO164" s="426"/>
      <c r="AP164" s="175"/>
      <c r="AQ164" s="175"/>
      <c r="AR164" s="234"/>
      <c r="AS164" s="234"/>
      <c r="AT164" s="234"/>
      <c r="AU164" s="234"/>
      <c r="AV164" s="234"/>
      <c r="AW164" s="234"/>
      <c r="AX164" s="234"/>
      <c r="AY164" s="234"/>
      <c r="AZ164" s="234"/>
      <c r="BA164" s="234"/>
      <c r="BB164" s="234"/>
      <c r="BC164" s="234"/>
    </row>
    <row r="165" spans="1:55" ht="9.75" customHeight="1" x14ac:dyDescent="0.2">
      <c r="A165" s="198"/>
      <c r="B165" s="202"/>
      <c r="C165" s="202"/>
      <c r="D165" s="202"/>
      <c r="E165" s="202"/>
      <c r="F165" s="202"/>
      <c r="G165" s="202"/>
      <c r="H165" s="202"/>
      <c r="I165" s="202"/>
      <c r="J165" s="202"/>
      <c r="K165" s="202"/>
      <c r="L165" s="202"/>
      <c r="M165" s="203"/>
      <c r="N165" s="202"/>
      <c r="O165" s="228"/>
      <c r="P165" s="202"/>
      <c r="Q165" s="202"/>
      <c r="R165" s="202"/>
      <c r="S165" s="202"/>
      <c r="T165" s="202"/>
      <c r="U165" s="202"/>
      <c r="V165" s="202"/>
      <c r="W165" s="202"/>
      <c r="X165" s="202"/>
      <c r="Y165" s="202"/>
      <c r="Z165" s="202"/>
      <c r="AA165" s="202"/>
      <c r="AB165" s="202"/>
      <c r="AD165" s="175"/>
      <c r="AE165" s="175"/>
      <c r="AF165" s="175"/>
      <c r="AG165" s="175"/>
      <c r="AH165" s="233"/>
      <c r="AI165" s="416"/>
      <c r="AJ165" s="417"/>
      <c r="AK165" s="416"/>
      <c r="AL165" s="416"/>
      <c r="AM165" s="416"/>
      <c r="AN165" s="416"/>
      <c r="AO165" s="426"/>
      <c r="AP165" s="175"/>
      <c r="AQ165" s="175"/>
      <c r="AR165" s="234"/>
      <c r="AS165" s="234"/>
      <c r="AT165" s="234"/>
      <c r="AU165" s="234"/>
      <c r="AV165" s="234"/>
      <c r="AW165" s="234"/>
      <c r="AX165" s="234"/>
      <c r="AY165" s="234"/>
      <c r="AZ165" s="234"/>
      <c r="BA165" s="234"/>
      <c r="BB165" s="234"/>
      <c r="BC165" s="234"/>
    </row>
    <row r="166" spans="1:55" ht="19.5" customHeight="1" x14ac:dyDescent="0.2">
      <c r="A166" s="198"/>
      <c r="B166" s="235" t="str">
        <f>HLOOKUP('4 Language'!$B$2,'4 Language'!$C$12:$H$307,167)</f>
        <v>Bereich für Auswertung durch Brose</v>
      </c>
      <c r="AD166" s="175"/>
      <c r="AE166" s="175"/>
      <c r="AF166" s="175"/>
      <c r="AG166" s="175"/>
      <c r="AH166" s="233"/>
      <c r="AI166" s="418">
        <v>1</v>
      </c>
      <c r="AJ166" s="419" t="str">
        <f>HLOOKUP('4 Language'!$B$2,'4 Language'!$C$400:$H$500,94)</f>
        <v>Bitte auswählen!</v>
      </c>
      <c r="AK166" s="419"/>
      <c r="AL166" s="419"/>
      <c r="AM166" s="419"/>
      <c r="AN166" s="416"/>
      <c r="AO166" s="426"/>
      <c r="AP166" s="175"/>
      <c r="AQ166" s="175"/>
      <c r="AR166" s="234"/>
      <c r="AS166" s="234"/>
      <c r="AT166" s="234"/>
      <c r="AU166" s="234"/>
      <c r="AV166" s="234"/>
      <c r="AW166" s="234"/>
      <c r="AX166" s="234"/>
      <c r="AY166" s="234"/>
      <c r="AZ166" s="234"/>
      <c r="BA166" s="234"/>
      <c r="BB166" s="234"/>
      <c r="BC166" s="234"/>
    </row>
    <row r="167" spans="1:55" ht="24.95" customHeight="1" x14ac:dyDescent="0.2">
      <c r="A167" s="198"/>
      <c r="B167" s="238"/>
      <c r="C167" s="239" t="str">
        <f>HLOOKUP('4 Language'!$B$2,'4 Language'!$C$12:$H$307,168)</f>
        <v xml:space="preserve"> Bewertung</v>
      </c>
      <c r="D167" s="240"/>
      <c r="E167" s="240"/>
      <c r="F167" s="241"/>
      <c r="G167" s="241"/>
      <c r="H167" s="241"/>
      <c r="I167" s="241"/>
      <c r="J167" s="241"/>
      <c r="K167" s="241"/>
      <c r="L167" s="241"/>
      <c r="M167" s="241"/>
      <c r="N167" s="241"/>
      <c r="P167" s="841"/>
      <c r="Q167" s="841"/>
      <c r="R167" s="841"/>
      <c r="S167" s="841"/>
      <c r="T167" s="841"/>
      <c r="U167" s="841"/>
      <c r="W167" s="848"/>
      <c r="X167" s="848"/>
      <c r="Y167" s="848"/>
      <c r="Z167" s="848"/>
      <c r="AA167" s="848"/>
      <c r="AB167" s="848"/>
      <c r="AD167" s="175"/>
      <c r="AE167" s="175"/>
      <c r="AF167" s="175"/>
      <c r="AG167" s="175"/>
      <c r="AH167" s="233"/>
      <c r="AI167" s="416"/>
      <c r="AJ167" s="419" t="str">
        <f>HLOOKUP('4 Language'!$B$2,'4 Language'!$C$400:$H$500,95)</f>
        <v>Akzeptiert</v>
      </c>
      <c r="AK167" s="419"/>
      <c r="AL167" s="419"/>
      <c r="AM167" s="419"/>
      <c r="AN167" s="416"/>
      <c r="AO167" s="426"/>
      <c r="AP167" s="175"/>
      <c r="AQ167" s="175"/>
      <c r="AR167" s="234"/>
      <c r="AS167" s="234"/>
      <c r="AT167" s="234"/>
      <c r="AU167" s="234"/>
      <c r="AV167" s="234"/>
      <c r="AW167" s="234"/>
      <c r="AX167" s="234"/>
      <c r="AY167" s="234"/>
      <c r="AZ167" s="234"/>
      <c r="BA167" s="234"/>
      <c r="BB167" s="234"/>
      <c r="BC167" s="234"/>
    </row>
    <row r="168" spans="1:55" ht="15" customHeight="1" x14ac:dyDescent="0.2">
      <c r="A168" s="198"/>
      <c r="M168" s="181"/>
      <c r="P168" s="237" t="str">
        <f>HLOOKUP('4 Language'!$B$2,'4 Language'!$C$12:$H$307,163)</f>
        <v>Funktion</v>
      </c>
      <c r="V168" s="205"/>
      <c r="W168" s="242" t="str">
        <f>HLOOKUP('4 Language'!$B$2,'4 Language'!$C$12:$H$307,170)</f>
        <v>Name (Bearbeiter Brose)</v>
      </c>
      <c r="AD168" s="175"/>
      <c r="AE168" s="175"/>
      <c r="AF168" s="175"/>
      <c r="AG168" s="175"/>
      <c r="AH168" s="233"/>
      <c r="AI168" s="416"/>
      <c r="AJ168" s="419" t="str">
        <f>HLOOKUP('4 Language'!$B$2,'4 Language'!$C$400:$H$500,96)</f>
        <v xml:space="preserve">Akzeptiert mit Auflagen (siehe Kommentar) </v>
      </c>
      <c r="AK168" s="419"/>
      <c r="AL168" s="419"/>
      <c r="AM168" s="419"/>
      <c r="AN168" s="416"/>
      <c r="AO168" s="426"/>
      <c r="AP168" s="175"/>
      <c r="AQ168" s="175"/>
      <c r="AR168" s="234"/>
      <c r="AS168" s="234"/>
      <c r="AT168" s="234"/>
      <c r="AU168" s="234"/>
      <c r="AV168" s="234"/>
      <c r="AW168" s="234"/>
      <c r="AX168" s="234"/>
      <c r="AY168" s="234"/>
      <c r="AZ168" s="234"/>
      <c r="BA168" s="234"/>
      <c r="BB168" s="234"/>
      <c r="BC168" s="234"/>
    </row>
    <row r="169" spans="1:55" ht="24.95" customHeight="1" x14ac:dyDescent="0.2">
      <c r="A169" s="198"/>
      <c r="B169" s="593" t="str">
        <f>HLOOKUP('4 Language'!$B$2,'4 Language'!$C$12:$H$307,288)</f>
        <v>Zusätzliche Angaben bitte gesondert übermitteln.</v>
      </c>
      <c r="P169" s="840"/>
      <c r="Q169" s="841"/>
      <c r="R169" s="841"/>
      <c r="S169" s="841"/>
      <c r="T169" s="841"/>
      <c r="U169" s="841"/>
      <c r="V169" s="243"/>
      <c r="W169" s="848"/>
      <c r="X169" s="848"/>
      <c r="Y169" s="848"/>
      <c r="Z169" s="848"/>
      <c r="AA169" s="848"/>
      <c r="AB169" s="848"/>
      <c r="AD169" s="175"/>
      <c r="AE169" s="175"/>
      <c r="AF169" s="175"/>
      <c r="AG169" s="175"/>
      <c r="AH169" s="233"/>
      <c r="AI169" s="416"/>
      <c r="AJ169" s="419" t="str">
        <f>HLOOKUP('4 Language'!$B$2,'4 Language'!$C$400:$H$500,97)</f>
        <v xml:space="preserve">Nicht akzeptiert! (siehe Kommentar) </v>
      </c>
      <c r="AK169" s="419"/>
      <c r="AL169" s="419"/>
      <c r="AM169" s="419"/>
      <c r="AN169" s="416"/>
      <c r="AO169" s="426"/>
      <c r="AP169" s="175"/>
      <c r="AQ169" s="175"/>
      <c r="AR169" s="234"/>
      <c r="AS169" s="234"/>
      <c r="AT169" s="234"/>
      <c r="AU169" s="234"/>
      <c r="AV169" s="234"/>
      <c r="AW169" s="234"/>
      <c r="AX169" s="234"/>
      <c r="AY169" s="234"/>
      <c r="AZ169" s="234"/>
      <c r="BA169" s="234"/>
      <c r="BB169" s="234"/>
      <c r="BC169" s="234"/>
    </row>
    <row r="170" spans="1:55" ht="15" customHeight="1" x14ac:dyDescent="0.2">
      <c r="A170" s="198"/>
      <c r="M170" s="181"/>
      <c r="P170" s="237" t="str">
        <f>HLOOKUP('4 Language'!$B$2,'4 Language'!$C$12:$H$307,165)</f>
        <v>Datum</v>
      </c>
      <c r="V170" s="243"/>
      <c r="W170" s="237" t="str">
        <f>HLOOKUP('4 Language'!$B$2,'4 Language'!$C$12:$H$307,166)</f>
        <v>Unterschrift</v>
      </c>
      <c r="AA170" s="189"/>
      <c r="AD170" s="175"/>
      <c r="AE170" s="175"/>
      <c r="AF170" s="175"/>
      <c r="AG170" s="175"/>
      <c r="AH170" s="233"/>
      <c r="AI170" s="416"/>
      <c r="AJ170" s="416"/>
      <c r="AK170" s="416"/>
      <c r="AL170" s="416"/>
      <c r="AM170" s="416"/>
      <c r="AN170" s="416"/>
      <c r="AO170" s="426"/>
      <c r="AP170" s="175"/>
      <c r="AQ170" s="175"/>
      <c r="AR170" s="234"/>
      <c r="AS170" s="234"/>
      <c r="AT170" s="234"/>
      <c r="AU170" s="234"/>
      <c r="AV170" s="234"/>
      <c r="AW170" s="234"/>
      <c r="AX170" s="234"/>
      <c r="AY170" s="234"/>
      <c r="AZ170" s="234"/>
      <c r="BA170" s="234"/>
      <c r="BB170" s="234"/>
      <c r="BC170" s="234"/>
    </row>
    <row r="171" spans="1:55" ht="19.5" customHeight="1" x14ac:dyDescent="0.2">
      <c r="A171" s="198"/>
      <c r="H171" s="244"/>
      <c r="I171" s="244"/>
      <c r="J171" s="244"/>
      <c r="K171" s="244"/>
      <c r="L171" s="244"/>
      <c r="M171" s="244"/>
      <c r="N171" s="244"/>
      <c r="O171" s="244"/>
      <c r="P171" s="244"/>
      <c r="Q171" s="243"/>
      <c r="R171" s="243"/>
      <c r="S171" s="243"/>
      <c r="T171" s="243"/>
      <c r="U171" s="243"/>
      <c r="V171" s="243"/>
      <c r="W171" s="243"/>
      <c r="X171" s="243"/>
      <c r="Y171" s="243"/>
      <c r="Z171" s="243"/>
      <c r="AA171" s="243"/>
      <c r="AB171" s="243"/>
      <c r="AD171" s="175"/>
      <c r="AE171" s="175"/>
      <c r="AF171" s="175"/>
      <c r="AG171" s="175"/>
      <c r="AM171" s="426"/>
      <c r="AN171" s="426"/>
      <c r="AO171" s="426"/>
      <c r="AP171" s="175"/>
      <c r="AQ171" s="175"/>
      <c r="AR171" s="234"/>
      <c r="AS171" s="234"/>
      <c r="AT171" s="234"/>
      <c r="AU171" s="234"/>
      <c r="AV171" s="234"/>
      <c r="AW171" s="234"/>
      <c r="AX171" s="234"/>
      <c r="AY171" s="234"/>
      <c r="AZ171" s="234"/>
      <c r="BA171" s="234"/>
      <c r="BB171" s="234"/>
      <c r="BC171" s="234"/>
    </row>
    <row r="172" spans="1:55" ht="19.5" customHeight="1" x14ac:dyDescent="0.2">
      <c r="A172" s="198"/>
      <c r="M172" s="181"/>
      <c r="P172" s="244"/>
      <c r="Q172" s="243"/>
      <c r="R172" s="243"/>
      <c r="S172" s="243"/>
      <c r="T172" s="243"/>
      <c r="U172" s="243"/>
      <c r="V172" s="243"/>
      <c r="W172" s="243"/>
      <c r="X172" s="243"/>
      <c r="Y172" s="243"/>
      <c r="Z172" s="243"/>
      <c r="AA172" s="243"/>
      <c r="AB172" s="243"/>
      <c r="AD172" s="175"/>
      <c r="AE172" s="175"/>
      <c r="AF172" s="175"/>
      <c r="AG172" s="175"/>
      <c r="AH172" s="175"/>
      <c r="AI172" s="426"/>
      <c r="AJ172" s="426"/>
      <c r="AK172" s="426"/>
      <c r="AL172" s="426"/>
      <c r="AM172" s="426"/>
      <c r="AN172" s="426"/>
      <c r="AO172" s="426"/>
      <c r="AP172" s="175"/>
      <c r="AQ172" s="175"/>
      <c r="AR172" s="234"/>
      <c r="AS172" s="234"/>
      <c r="AT172" s="234"/>
      <c r="AU172" s="234"/>
      <c r="AV172" s="234"/>
      <c r="AW172" s="234"/>
      <c r="AX172" s="234"/>
      <c r="AY172" s="234"/>
      <c r="AZ172" s="234"/>
      <c r="BA172" s="234"/>
      <c r="BB172" s="234"/>
      <c r="BC172" s="234"/>
    </row>
    <row r="173" spans="1:55" ht="19.5" customHeight="1" x14ac:dyDescent="0.2">
      <c r="A173" s="198"/>
      <c r="M173" s="181"/>
      <c r="AA173" s="189"/>
      <c r="AD173" s="175"/>
      <c r="AE173" s="175"/>
      <c r="AF173" s="175"/>
      <c r="AG173" s="175"/>
      <c r="AH173" s="175"/>
      <c r="AI173" s="426"/>
      <c r="AJ173" s="426"/>
      <c r="AK173" s="426"/>
      <c r="AL173" s="426"/>
      <c r="AM173" s="426"/>
      <c r="AN173" s="426"/>
      <c r="AO173" s="426"/>
      <c r="AP173" s="175"/>
      <c r="AQ173" s="175"/>
      <c r="AR173" s="234"/>
      <c r="AV173" s="245"/>
      <c r="AW173" s="181"/>
      <c r="AX173" s="181"/>
    </row>
    <row r="183" spans="19:29" x14ac:dyDescent="0.2">
      <c r="S183" s="171"/>
      <c r="AC183" s="189"/>
    </row>
    <row r="184" spans="19:29" x14ac:dyDescent="0.2">
      <c r="S184" s="171"/>
      <c r="T184" s="215"/>
    </row>
    <row r="185" spans="19:29" x14ac:dyDescent="0.2">
      <c r="S185" s="171"/>
      <c r="T185" s="215"/>
    </row>
    <row r="186" spans="19:29" x14ac:dyDescent="0.2">
      <c r="S186" s="832"/>
      <c r="T186" s="832"/>
      <c r="U186" s="832"/>
      <c r="V186" s="832"/>
      <c r="W186" s="832"/>
      <c r="X186" s="832"/>
      <c r="Y186" s="832"/>
      <c r="Z186" s="832"/>
      <c r="AA186" s="832"/>
      <c r="AB186" s="832"/>
      <c r="AC186" s="832"/>
    </row>
    <row r="187" spans="19:29" x14ac:dyDescent="0.2">
      <c r="S187" s="832"/>
      <c r="T187" s="832"/>
      <c r="U187" s="832"/>
      <c r="V187" s="832"/>
      <c r="W187" s="832"/>
      <c r="X187" s="832"/>
      <c r="Y187" s="832"/>
      <c r="Z187" s="832"/>
      <c r="AA187" s="832"/>
      <c r="AB187" s="832"/>
      <c r="AC187" s="832"/>
    </row>
  </sheetData>
  <sheetProtection sheet="1" objects="1" scenarios="1" selectLockedCells="1"/>
  <mergeCells count="275">
    <mergeCell ref="B2:C3"/>
    <mergeCell ref="X43:Y43"/>
    <mergeCell ref="X44:Y44"/>
    <mergeCell ref="X45:Y45"/>
    <mergeCell ref="X40:Y40"/>
    <mergeCell ref="L119:M119"/>
    <mergeCell ref="N130:O130"/>
    <mergeCell ref="T130:U130"/>
    <mergeCell ref="C142:N142"/>
    <mergeCell ref="Q142:AB142"/>
    <mergeCell ref="N72:O72"/>
    <mergeCell ref="T72:U72"/>
    <mergeCell ref="T55:U55"/>
    <mergeCell ref="X131:Y131"/>
    <mergeCell ref="R131:S131"/>
    <mergeCell ref="L67:M67"/>
    <mergeCell ref="L66:M66"/>
    <mergeCell ref="P78:Q78"/>
    <mergeCell ref="L131:M131"/>
    <mergeCell ref="X64:Y64"/>
    <mergeCell ref="X65:Y65"/>
    <mergeCell ref="L111:M111"/>
    <mergeCell ref="T43:U43"/>
    <mergeCell ref="R69:S69"/>
    <mergeCell ref="Z43:AA43"/>
    <mergeCell ref="R75:S75"/>
    <mergeCell ref="X75:Y75"/>
    <mergeCell ref="L81:M81"/>
    <mergeCell ref="N81:O81"/>
    <mergeCell ref="R81:S81"/>
    <mergeCell ref="T81:U81"/>
    <mergeCell ref="X81:Y81"/>
    <mergeCell ref="Z81:AA81"/>
    <mergeCell ref="Z80:AA80"/>
    <mergeCell ref="L80:M80"/>
    <mergeCell ref="N80:O80"/>
    <mergeCell ref="Z44:AA44"/>
    <mergeCell ref="L64:M64"/>
    <mergeCell ref="R64:S64"/>
    <mergeCell ref="R65:S65"/>
    <mergeCell ref="R66:S66"/>
    <mergeCell ref="X69:Y69"/>
    <mergeCell ref="T52:U52"/>
    <mergeCell ref="T47:U47"/>
    <mergeCell ref="L71:M71"/>
    <mergeCell ref="L69:M69"/>
    <mergeCell ref="X46:Y46"/>
    <mergeCell ref="X47:Y47"/>
    <mergeCell ref="W169:AB169"/>
    <mergeCell ref="J151:N151"/>
    <mergeCell ref="T137:U137"/>
    <mergeCell ref="Z137:AA137"/>
    <mergeCell ref="L134:M134"/>
    <mergeCell ref="F119:G119"/>
    <mergeCell ref="I119:J119"/>
    <mergeCell ref="N99:O99"/>
    <mergeCell ref="T99:U99"/>
    <mergeCell ref="Z99:AA99"/>
    <mergeCell ref="N135:O135"/>
    <mergeCell ref="R133:S133"/>
    <mergeCell ref="R135:S135"/>
    <mergeCell ref="Z130:AA130"/>
    <mergeCell ref="N131:O131"/>
    <mergeCell ref="T131:U131"/>
    <mergeCell ref="Z131:AA131"/>
    <mergeCell ref="T134:U134"/>
    <mergeCell ref="L120:M120"/>
    <mergeCell ref="B163:G163"/>
    <mergeCell ref="I163:N163"/>
    <mergeCell ref="L133:M133"/>
    <mergeCell ref="N133:O133"/>
    <mergeCell ref="P167:U167"/>
    <mergeCell ref="P163:U163"/>
    <mergeCell ref="W163:AB163"/>
    <mergeCell ref="W167:AB167"/>
    <mergeCell ref="X133:Y133"/>
    <mergeCell ref="Z133:AA133"/>
    <mergeCell ref="T135:U135"/>
    <mergeCell ref="C160:N160"/>
    <mergeCell ref="Q144:AB144"/>
    <mergeCell ref="Q148:AB150"/>
    <mergeCell ref="L149:M149"/>
    <mergeCell ref="X134:Y134"/>
    <mergeCell ref="Z134:AA134"/>
    <mergeCell ref="X135:Y135"/>
    <mergeCell ref="Z135:AA135"/>
    <mergeCell ref="N137:O137"/>
    <mergeCell ref="C152:N152"/>
    <mergeCell ref="C157:N157"/>
    <mergeCell ref="T133:U133"/>
    <mergeCell ref="R134:S134"/>
    <mergeCell ref="L137:M137"/>
    <mergeCell ref="R137:S137"/>
    <mergeCell ref="X137:Y137"/>
    <mergeCell ref="Q138:AB139"/>
    <mergeCell ref="S186:AC187"/>
    <mergeCell ref="X80:Y80"/>
    <mergeCell ref="T80:U80"/>
    <mergeCell ref="R80:S80"/>
    <mergeCell ref="N57:O57"/>
    <mergeCell ref="Z72:AA72"/>
    <mergeCell ref="L74:M74"/>
    <mergeCell ref="R74:S74"/>
    <mergeCell ref="X74:Y74"/>
    <mergeCell ref="N96:O96"/>
    <mergeCell ref="T96:U96"/>
    <mergeCell ref="Z96:AA96"/>
    <mergeCell ref="N97:O97"/>
    <mergeCell ref="T97:U97"/>
    <mergeCell ref="Z97:AA97"/>
    <mergeCell ref="L88:AB89"/>
    <mergeCell ref="L75:M75"/>
    <mergeCell ref="P169:U169"/>
    <mergeCell ref="N128:O128"/>
    <mergeCell ref="T128:U128"/>
    <mergeCell ref="Z128:AA128"/>
    <mergeCell ref="L143:M143"/>
    <mergeCell ref="N134:O134"/>
    <mergeCell ref="L135:M135"/>
    <mergeCell ref="T37:U37"/>
    <mergeCell ref="T36:U36"/>
    <mergeCell ref="N36:O36"/>
    <mergeCell ref="N37:O37"/>
    <mergeCell ref="N43:O43"/>
    <mergeCell ref="N40:O40"/>
    <mergeCell ref="N52:O52"/>
    <mergeCell ref="N47:O47"/>
    <mergeCell ref="N48:O48"/>
    <mergeCell ref="R40:S40"/>
    <mergeCell ref="R46:S46"/>
    <mergeCell ref="R45:S45"/>
    <mergeCell ref="R44:S44"/>
    <mergeCell ref="R43:S43"/>
    <mergeCell ref="R47:S47"/>
    <mergeCell ref="N44:O44"/>
    <mergeCell ref="N45:O45"/>
    <mergeCell ref="N46:O46"/>
    <mergeCell ref="T48:U48"/>
    <mergeCell ref="T40:U40"/>
    <mergeCell ref="T39:U39"/>
    <mergeCell ref="N39:O39"/>
    <mergeCell ref="T45:U45"/>
    <mergeCell ref="T44:U44"/>
    <mergeCell ref="Y10:AA10"/>
    <mergeCell ref="Y11:AA11"/>
    <mergeCell ref="J12:K12"/>
    <mergeCell ref="L12:M12"/>
    <mergeCell ref="X20:Y20"/>
    <mergeCell ref="Z20:AA20"/>
    <mergeCell ref="Z21:AA21"/>
    <mergeCell ref="N22:O22"/>
    <mergeCell ref="Z22:AA22"/>
    <mergeCell ref="L20:M20"/>
    <mergeCell ref="T22:U22"/>
    <mergeCell ref="T21:U21"/>
    <mergeCell ref="T20:U20"/>
    <mergeCell ref="R20:S20"/>
    <mergeCell ref="I11:N11"/>
    <mergeCell ref="L17:O17"/>
    <mergeCell ref="L18:O18"/>
    <mergeCell ref="L19:O19"/>
    <mergeCell ref="R19:U19"/>
    <mergeCell ref="R18:U18"/>
    <mergeCell ref="R17:U17"/>
    <mergeCell ref="X17:AA17"/>
    <mergeCell ref="X18:AA18"/>
    <mergeCell ref="X19:AA19"/>
    <mergeCell ref="N29:O29"/>
    <mergeCell ref="T31:U31"/>
    <mergeCell ref="T30:U30"/>
    <mergeCell ref="N27:O27"/>
    <mergeCell ref="N30:O30"/>
    <mergeCell ref="N31:O31"/>
    <mergeCell ref="N32:O32"/>
    <mergeCell ref="N33:O33"/>
    <mergeCell ref="R28:S28"/>
    <mergeCell ref="T24:U24"/>
    <mergeCell ref="N24:O24"/>
    <mergeCell ref="N25:O25"/>
    <mergeCell ref="N26:O26"/>
    <mergeCell ref="T27:U27"/>
    <mergeCell ref="T26:U26"/>
    <mergeCell ref="T25:U25"/>
    <mergeCell ref="T28:U28"/>
    <mergeCell ref="N28:O28"/>
    <mergeCell ref="N38:O38"/>
    <mergeCell ref="L65:M65"/>
    <mergeCell ref="T57:U57"/>
    <mergeCell ref="L28:M28"/>
    <mergeCell ref="N23:O23"/>
    <mergeCell ref="K13:M13"/>
    <mergeCell ref="N20:O20"/>
    <mergeCell ref="L59:AB60"/>
    <mergeCell ref="N53:O53"/>
    <mergeCell ref="Z39:AA39"/>
    <mergeCell ref="Z40:AA40"/>
    <mergeCell ref="L47:M47"/>
    <mergeCell ref="L40:M40"/>
    <mergeCell ref="L44:M44"/>
    <mergeCell ref="L45:M45"/>
    <mergeCell ref="L46:M46"/>
    <mergeCell ref="L43:M43"/>
    <mergeCell ref="Z55:AA55"/>
    <mergeCell ref="Z56:AA56"/>
    <mergeCell ref="L55:M55"/>
    <mergeCell ref="N55:O55"/>
    <mergeCell ref="N56:O56"/>
    <mergeCell ref="L35:M35"/>
    <mergeCell ref="N21:O21"/>
    <mergeCell ref="J1:M1"/>
    <mergeCell ref="P8:S9"/>
    <mergeCell ref="L6:R6"/>
    <mergeCell ref="T6:W6"/>
    <mergeCell ref="Y6:AB6"/>
    <mergeCell ref="L7:R7"/>
    <mergeCell ref="T7:W7"/>
    <mergeCell ref="Y7:AB7"/>
    <mergeCell ref="R67:S67"/>
    <mergeCell ref="X67:Y67"/>
    <mergeCell ref="Z9:AB9"/>
    <mergeCell ref="T46:U46"/>
    <mergeCell ref="Z46:AA46"/>
    <mergeCell ref="Z47:AA47"/>
    <mergeCell ref="Z48:AA48"/>
    <mergeCell ref="Z52:AA52"/>
    <mergeCell ref="Z45:AA45"/>
    <mergeCell ref="Z30:AA30"/>
    <mergeCell ref="Z31:AA31"/>
    <mergeCell ref="Z27:AA27"/>
    <mergeCell ref="Z28:AA28"/>
    <mergeCell ref="X28:Y28"/>
    <mergeCell ref="Z29:AA29"/>
    <mergeCell ref="T23:U23"/>
    <mergeCell ref="X1:AB1"/>
    <mergeCell ref="R2:AB5"/>
    <mergeCell ref="X71:Y71"/>
    <mergeCell ref="X66:Y66"/>
    <mergeCell ref="Z57:AA57"/>
    <mergeCell ref="X55:Y55"/>
    <mergeCell ref="Z37:AA37"/>
    <mergeCell ref="Z38:AA38"/>
    <mergeCell ref="Z32:AA32"/>
    <mergeCell ref="Z33:AA33"/>
    <mergeCell ref="X35:Y35"/>
    <mergeCell ref="Z36:AA36"/>
    <mergeCell ref="R35:S35"/>
    <mergeCell ref="T38:U38"/>
    <mergeCell ref="T29:U29"/>
    <mergeCell ref="T33:U33"/>
    <mergeCell ref="T32:U32"/>
    <mergeCell ref="Z23:AA23"/>
    <mergeCell ref="Z24:AA24"/>
    <mergeCell ref="Z25:AA25"/>
    <mergeCell ref="Z26:AA26"/>
    <mergeCell ref="T56:U56"/>
    <mergeCell ref="R71:S71"/>
    <mergeCell ref="R55:S55"/>
    <mergeCell ref="Q114:AB116"/>
    <mergeCell ref="N103:O103"/>
    <mergeCell ref="T103:U103"/>
    <mergeCell ref="Z103:AA103"/>
    <mergeCell ref="B106:F107"/>
    <mergeCell ref="L112:M112"/>
    <mergeCell ref="X112:Y112"/>
    <mergeCell ref="R112:S112"/>
    <mergeCell ref="R111:S111"/>
    <mergeCell ref="R110:S110"/>
    <mergeCell ref="R109:S109"/>
    <mergeCell ref="J106:AA107"/>
    <mergeCell ref="B114:O115"/>
    <mergeCell ref="L109:M109"/>
    <mergeCell ref="X109:Y109"/>
    <mergeCell ref="L110:M110"/>
    <mergeCell ref="X110:Y110"/>
    <mergeCell ref="X111:Y111"/>
  </mergeCells>
  <phoneticPr fontId="7" type="noConversion"/>
  <conditionalFormatting sqref="AK77:AL78 AK40:AL51 AK80:AL85 AK97:AL99 AK159:AL160 AK155:AL157 AK118:AL123 AK139:AL144 AK146:AL149">
    <cfRule type="cellIs" dxfId="317" priority="378" operator="equal">
      <formula>FALSE</formula>
    </cfRule>
  </conditionalFormatting>
  <conditionalFormatting sqref="AK77:AL78 AK40:AL51 AK80:AL85 AK97:AL99 AK159:AL160 AK155:AL157 AK118:AL123 AK139:AL144 AK146:AL149">
    <cfRule type="cellIs" dxfId="316" priority="377" operator="equal">
      <formula>TRUE</formula>
    </cfRule>
  </conditionalFormatting>
  <conditionalFormatting sqref="H163">
    <cfRule type="cellIs" dxfId="315" priority="336" operator="equal">
      <formula>"&lt; &gt;"</formula>
    </cfRule>
    <cfRule type="cellIs" dxfId="314" priority="337" operator="equal">
      <formula>"&gt;"</formula>
    </cfRule>
    <cfRule type="cellIs" dxfId="313" priority="338" operator="equal">
      <formula>"&lt;"</formula>
    </cfRule>
  </conditionalFormatting>
  <conditionalFormatting sqref="M26">
    <cfRule type="cellIs" dxfId="312" priority="278" operator="lessThan">
      <formula>0.25</formula>
    </cfRule>
  </conditionalFormatting>
  <conditionalFormatting sqref="L20">
    <cfRule type="expression" dxfId="311" priority="481">
      <formula>L16=2</formula>
    </cfRule>
  </conditionalFormatting>
  <conditionalFormatting sqref="AK91:AL93">
    <cfRule type="cellIs" dxfId="310" priority="203" operator="equal">
      <formula>FALSE</formula>
    </cfRule>
  </conditionalFormatting>
  <conditionalFormatting sqref="AK91:AL93">
    <cfRule type="cellIs" dxfId="309" priority="202" operator="equal">
      <formula>TRUE</formula>
    </cfRule>
  </conditionalFormatting>
  <conditionalFormatting sqref="AK94">
    <cfRule type="cellIs" dxfId="308" priority="201" operator="equal">
      <formula>FALSE</formula>
    </cfRule>
  </conditionalFormatting>
  <conditionalFormatting sqref="AK94">
    <cfRule type="cellIs" dxfId="307" priority="200" operator="equal">
      <formula>TRUE</formula>
    </cfRule>
  </conditionalFormatting>
  <conditionalFormatting sqref="AL94:AL96">
    <cfRule type="cellIs" dxfId="306" priority="195" operator="equal">
      <formula>FALSE</formula>
    </cfRule>
  </conditionalFormatting>
  <conditionalFormatting sqref="AL94:AL96">
    <cfRule type="cellIs" dxfId="305" priority="194" operator="equal">
      <formula>TRUE</formula>
    </cfRule>
  </conditionalFormatting>
  <conditionalFormatting sqref="AK95:AK96">
    <cfRule type="cellIs" dxfId="304" priority="193" operator="equal">
      <formula>FALSE</formula>
    </cfRule>
  </conditionalFormatting>
  <conditionalFormatting sqref="AK95:AK96">
    <cfRule type="cellIs" dxfId="303" priority="192" operator="equal">
      <formula>TRUE</formula>
    </cfRule>
  </conditionalFormatting>
  <conditionalFormatting sqref="B72:B73 B23 C42:K42 M42:AB42 H48 H52 J74:J75 B36:B42 B81 J81 J93:J95 B19 B92 J64:J71 B51:B52 P55:P57 V55:V57 AB55:AB57 B55:B58 C58:AB58 N78:N79 AA78:AA79 L79 Y78:Y79 Q79 N83:N84 R83:R84 T83:T84 X83:X84 Z83:Z84 J83:J84 L83:L84 B132:B135">
    <cfRule type="expression" dxfId="302" priority="487">
      <formula>OR($AI$11=1,$AI$11=3)</formula>
    </cfRule>
  </conditionalFormatting>
  <conditionalFormatting sqref="B119:B120 H119 K119 N119:N120">
    <cfRule type="expression" dxfId="301" priority="183">
      <formula>OR($AG$1=1,$AG$1=3)</formula>
    </cfRule>
  </conditionalFormatting>
  <conditionalFormatting sqref="B121:B123">
    <cfRule type="expression" dxfId="300" priority="182">
      <formula>OR($AG$1=1,$AG$1=3)</formula>
    </cfRule>
  </conditionalFormatting>
  <conditionalFormatting sqref="B126">
    <cfRule type="expression" dxfId="299" priority="178">
      <formula>OR($AG$1=1,$AG$1=3)</formula>
    </cfRule>
  </conditionalFormatting>
  <conditionalFormatting sqref="H133:I135">
    <cfRule type="expression" dxfId="298" priority="173">
      <formula>OR($AI$11=1,$AI$11=3)</formula>
    </cfRule>
  </conditionalFormatting>
  <conditionalFormatting sqref="Y141 Y143 AA141 AA143 Y159 AA159 P159:P160 P141:P144 P147:P148">
    <cfRule type="expression" dxfId="297" priority="168">
      <formula>OR($AG$1=1,$AG$1=3)</formula>
    </cfRule>
  </conditionalFormatting>
  <conditionalFormatting sqref="O141:O144">
    <cfRule type="cellIs" dxfId="296" priority="165" operator="equal">
      <formula>"&lt; &gt;"</formula>
    </cfRule>
    <cfRule type="cellIs" dxfId="295" priority="166" operator="equal">
      <formula>"&gt;"</formula>
    </cfRule>
    <cfRule type="cellIs" dxfId="294" priority="167" operator="equal">
      <formula>"&lt;"</formula>
    </cfRule>
  </conditionalFormatting>
  <conditionalFormatting sqref="O147:O152">
    <cfRule type="cellIs" dxfId="293" priority="161" operator="equal">
      <formula>"&lt; &gt;"</formula>
    </cfRule>
    <cfRule type="cellIs" dxfId="292" priority="162" operator="equal">
      <formula>"&gt;"</formula>
    </cfRule>
    <cfRule type="cellIs" dxfId="291" priority="163" operator="equal">
      <formula>"&lt;"</formula>
    </cfRule>
  </conditionalFormatting>
  <conditionalFormatting sqref="O155:O160">
    <cfRule type="cellIs" dxfId="290" priority="157" operator="equal">
      <formula>"&lt; &gt;"</formula>
    </cfRule>
    <cfRule type="cellIs" dxfId="289" priority="158" operator="equal">
      <formula>"&gt;"</formula>
    </cfRule>
    <cfRule type="cellIs" dxfId="288" priority="159" operator="equal">
      <formula>"&lt;"</formula>
    </cfRule>
  </conditionalFormatting>
  <conditionalFormatting sqref="B167">
    <cfRule type="expression" dxfId="287" priority="494" stopIfTrue="1">
      <formula>$AI$166=2</formula>
    </cfRule>
    <cfRule type="expression" dxfId="286" priority="495" stopIfTrue="1">
      <formula>$AI$166=3</formula>
    </cfRule>
    <cfRule type="expression" dxfId="285" priority="496" stopIfTrue="1">
      <formula>$AI$166=4</formula>
    </cfRule>
  </conditionalFormatting>
  <conditionalFormatting sqref="P23:P24">
    <cfRule type="expression" dxfId="284" priority="100">
      <formula>OR($AI$11=1,$AI$11=3)</formula>
    </cfRule>
  </conditionalFormatting>
  <conditionalFormatting sqref="P36:P38">
    <cfRule type="expression" dxfId="283" priority="93">
      <formula>OR($AI$11=1,$AI$11=3)</formula>
    </cfRule>
  </conditionalFormatting>
  <conditionalFormatting sqref="V36:V38">
    <cfRule type="expression" dxfId="282" priority="92">
      <formula>OR($AI$11=1,$AI$11=3)</formula>
    </cfRule>
  </conditionalFormatting>
  <conditionalFormatting sqref="AB36:AB38">
    <cfRule type="expression" dxfId="281" priority="91">
      <formula>OR($AI$11=1,$AI$11=3)</formula>
    </cfRule>
  </conditionalFormatting>
  <conditionalFormatting sqref="K55">
    <cfRule type="expression" dxfId="280" priority="83">
      <formula>OR($AI$11=1,$AI$11=3)</formula>
    </cfRule>
  </conditionalFormatting>
  <conditionalFormatting sqref="K56">
    <cfRule type="expression" dxfId="279" priority="82">
      <formula>OR($AI$11=1,$AI$11=3)</formula>
    </cfRule>
  </conditionalFormatting>
  <conditionalFormatting sqref="Q55">
    <cfRule type="expression" dxfId="278" priority="81">
      <formula>OR($AI$11=1,$AI$11=3)</formula>
    </cfRule>
  </conditionalFormatting>
  <conditionalFormatting sqref="Q56">
    <cfRule type="expression" dxfId="277" priority="80">
      <formula>OR($AI$11=1,$AI$11=3)</formula>
    </cfRule>
  </conditionalFormatting>
  <conditionalFormatting sqref="W55">
    <cfRule type="expression" dxfId="276" priority="79">
      <formula>OR($AI$11=1,$AI$11=3)</formula>
    </cfRule>
  </conditionalFormatting>
  <conditionalFormatting sqref="W56">
    <cfRule type="expression" dxfId="275" priority="78">
      <formula>OR($AI$11=1,$AI$11=3)</formula>
    </cfRule>
  </conditionalFormatting>
  <conditionalFormatting sqref="P64:P72">
    <cfRule type="expression" dxfId="274" priority="73">
      <formula>OR($AI$11=1,$AI$11=3)</formula>
    </cfRule>
  </conditionalFormatting>
  <conditionalFormatting sqref="P81">
    <cfRule type="expression" dxfId="273" priority="67">
      <formula>OR($AI$11=1,$AI$11=3)</formula>
    </cfRule>
  </conditionalFormatting>
  <conditionalFormatting sqref="AB134">
    <cfRule type="expression" dxfId="272" priority="64">
      <formula>OR($AI$11=1,$AI$11=3)</formula>
    </cfRule>
  </conditionalFormatting>
  <conditionalFormatting sqref="P74:P75">
    <cfRule type="expression" dxfId="271" priority="69">
      <formula>OR($AI$11=1,$AI$11=3)</formula>
    </cfRule>
  </conditionalFormatting>
  <conditionalFormatting sqref="A76:AB76">
    <cfRule type="expression" dxfId="270" priority="68">
      <formula>OR($AI$11=1,$AI$11=3)</formula>
    </cfRule>
  </conditionalFormatting>
  <conditionalFormatting sqref="AB135">
    <cfRule type="expression" dxfId="269" priority="63">
      <formula>OR($AI$11=1,$AI$11=3)</formula>
    </cfRule>
  </conditionalFormatting>
  <conditionalFormatting sqref="V135">
    <cfRule type="expression" dxfId="268" priority="62">
      <formula>OR($AI$11=1,$AI$11=3)</formula>
    </cfRule>
  </conditionalFormatting>
  <conditionalFormatting sqref="V134">
    <cfRule type="expression" dxfId="267" priority="61">
      <formula>OR($AI$11=1,$AI$11=3)</formula>
    </cfRule>
  </conditionalFormatting>
  <conditionalFormatting sqref="P134">
    <cfRule type="expression" dxfId="266" priority="60">
      <formula>OR($AI$11=1,$AI$11=3)</formula>
    </cfRule>
  </conditionalFormatting>
  <conditionalFormatting sqref="P135">
    <cfRule type="expression" dxfId="265" priority="59">
      <formula>OR($AI$11=1,$AI$11=3)</formula>
    </cfRule>
  </conditionalFormatting>
  <conditionalFormatting sqref="P133">
    <cfRule type="expression" dxfId="264" priority="58">
      <formula>OR($AI$11=1,$AI$11=3)</formula>
    </cfRule>
  </conditionalFormatting>
  <conditionalFormatting sqref="Q133">
    <cfRule type="expression" dxfId="263" priority="57">
      <formula>OR($AI$11=1,$AI$11=3)</formula>
    </cfRule>
  </conditionalFormatting>
  <conditionalFormatting sqref="V133">
    <cfRule type="expression" dxfId="262" priority="56">
      <formula>OR($AI$11=1,$AI$11=3)</formula>
    </cfRule>
  </conditionalFormatting>
  <conditionalFormatting sqref="AB133">
    <cfRule type="expression" dxfId="261" priority="55">
      <formula>OR($AI$11=1,$AI$11=3)</formula>
    </cfRule>
  </conditionalFormatting>
  <conditionalFormatting sqref="Q134:Q135">
    <cfRule type="expression" dxfId="260" priority="54">
      <formula>OR($AI$11=1,$AI$11=3)</formula>
    </cfRule>
  </conditionalFormatting>
  <conditionalFormatting sqref="K133:K135">
    <cfRule type="expression" dxfId="259" priority="53">
      <formula>OR($AI$11=1,$AI$11=3)</formula>
    </cfRule>
  </conditionalFormatting>
  <conditionalFormatting sqref="W133:W135">
    <cfRule type="expression" dxfId="258" priority="52">
      <formula>OR($AI$11=1,$AI$11=3)</formula>
    </cfRule>
  </conditionalFormatting>
  <conditionalFormatting sqref="V24">
    <cfRule type="expression" dxfId="257" priority="49">
      <formula>OR($AI$11=1,$AI$11=3)</formula>
    </cfRule>
  </conditionalFormatting>
  <conditionalFormatting sqref="AB24">
    <cfRule type="expression" dxfId="256" priority="48">
      <formula>OR($AI$11=1,$AI$11=3)</formula>
    </cfRule>
  </conditionalFormatting>
  <conditionalFormatting sqref="V23">
    <cfRule type="expression" dxfId="255" priority="47">
      <formula>OR($AI$11=1,$AI$11=3)</formula>
    </cfRule>
  </conditionalFormatting>
  <conditionalFormatting sqref="AB23">
    <cfRule type="expression" dxfId="254" priority="46">
      <formula>OR($AI$11=1,$AI$11=3)</formula>
    </cfRule>
  </conditionalFormatting>
  <conditionalFormatting sqref="N49:N50 R49:R50 T49:T50 X49:X50 Z49:Z50 L49:L50">
    <cfRule type="expression" dxfId="253" priority="44">
      <formula>OR($AI$11=1,$AI$11=3)</formula>
    </cfRule>
  </conditionalFormatting>
  <conditionalFormatting sqref="N51 R51 T51 X51 Z51 L51">
    <cfRule type="expression" dxfId="252" priority="43">
      <formula>OR($AI$11=1,$AI$11=3)</formula>
    </cfRule>
  </conditionalFormatting>
  <conditionalFormatting sqref="N41 R41 T41 X41 Z41 L41">
    <cfRule type="expression" dxfId="251" priority="42">
      <formula>OR($AI$11=1,$AI$11=3)</formula>
    </cfRule>
  </conditionalFormatting>
  <conditionalFormatting sqref="AK158:AL158">
    <cfRule type="cellIs" dxfId="250" priority="39" operator="equal">
      <formula>FALSE</formula>
    </cfRule>
  </conditionalFormatting>
  <conditionalFormatting sqref="AK158:AL158">
    <cfRule type="cellIs" dxfId="249" priority="38" operator="equal">
      <formula>TRUE</formula>
    </cfRule>
  </conditionalFormatting>
  <conditionalFormatting sqref="I55">
    <cfRule type="expression" dxfId="248" priority="37">
      <formula>OR($AI$11=1,$AI$11=3)</formula>
    </cfRule>
  </conditionalFormatting>
  <conditionalFormatting sqref="S26">
    <cfRule type="cellIs" dxfId="247" priority="35" operator="lessThan">
      <formula>0.25</formula>
    </cfRule>
  </conditionalFormatting>
  <conditionalFormatting sqref="R20">
    <cfRule type="expression" dxfId="246" priority="36">
      <formula>R16=2</formula>
    </cfRule>
  </conditionalFormatting>
  <conditionalFormatting sqref="Y26">
    <cfRule type="cellIs" dxfId="245" priority="33" operator="lessThan">
      <formula>0.25</formula>
    </cfRule>
  </conditionalFormatting>
  <conditionalFormatting sqref="X20">
    <cfRule type="expression" dxfId="244" priority="34">
      <formula>X16=2</formula>
    </cfRule>
  </conditionalFormatting>
  <conditionalFormatting sqref="V64:V72">
    <cfRule type="expression" dxfId="243" priority="32">
      <formula>OR($AI$11=1,$AI$11=3)</formula>
    </cfRule>
  </conditionalFormatting>
  <conditionalFormatting sqref="V74:V75">
    <cfRule type="expression" dxfId="242" priority="31">
      <formula>OR($AI$11=1,$AI$11=3)</formula>
    </cfRule>
  </conditionalFormatting>
  <conditionalFormatting sqref="AB64:AB72">
    <cfRule type="expression" dxfId="241" priority="30">
      <formula>OR($AI$11=1,$AI$11=3)</formula>
    </cfRule>
  </conditionalFormatting>
  <conditionalFormatting sqref="AB74:AB75">
    <cfRule type="expression" dxfId="240" priority="29">
      <formula>OR($AI$11=1,$AI$11=3)</formula>
    </cfRule>
  </conditionalFormatting>
  <conditionalFormatting sqref="V81">
    <cfRule type="expression" dxfId="239" priority="28">
      <formula>OR($AI$11=1,$AI$11=3)</formula>
    </cfRule>
  </conditionalFormatting>
  <conditionalFormatting sqref="AB81">
    <cfRule type="expression" dxfId="238" priority="27">
      <formula>OR($AI$11=1,$AI$11=3)</formula>
    </cfRule>
  </conditionalFormatting>
  <conditionalFormatting sqref="M57">
    <cfRule type="expression" dxfId="237" priority="26">
      <formula>OR($AI$11=1,$AI$11=3)</formula>
    </cfRule>
  </conditionalFormatting>
  <conditionalFormatting sqref="S57">
    <cfRule type="expression" dxfId="236" priority="25">
      <formula>OR($AI$11=1,$AI$11=3)</formula>
    </cfRule>
  </conditionalFormatting>
  <conditionalFormatting sqref="Y57">
    <cfRule type="expression" dxfId="235" priority="24">
      <formula>OR($AI$11=1,$AI$11=3)</formula>
    </cfRule>
  </conditionalFormatting>
  <conditionalFormatting sqref="T108 Z108 W108 R108">
    <cfRule type="expression" dxfId="234" priority="21">
      <formula>Z91=TRUE</formula>
    </cfRule>
  </conditionalFormatting>
  <conditionalFormatting sqref="U108 AA108">
    <cfRule type="expression" dxfId="233" priority="20">
      <formula>AB91=TRUE</formula>
    </cfRule>
  </conditionalFormatting>
  <conditionalFormatting sqref="N108">
    <cfRule type="expression" dxfId="232" priority="498">
      <formula>V91=TRUE</formula>
    </cfRule>
  </conditionalFormatting>
  <conditionalFormatting sqref="O108">
    <cfRule type="expression" dxfId="231" priority="500">
      <formula>V91=TRUE</formula>
    </cfRule>
  </conditionalFormatting>
  <conditionalFormatting sqref="W109:W112 Q109:R112">
    <cfRule type="expression" dxfId="230" priority="502">
      <formula>Y93=TRUE</formula>
    </cfRule>
  </conditionalFormatting>
  <conditionalFormatting sqref="N21:O21 T21:U21 Z21:AA21">
    <cfRule type="cellIs" dxfId="229" priority="10" operator="greaterThanOrEqual">
      <formula>500</formula>
    </cfRule>
  </conditionalFormatting>
  <conditionalFormatting sqref="L55:M55 N55:O56 R55:S55 T55:U56 X55:Y55 Z55:AA56">
    <cfRule type="cellIs" dxfId="228" priority="9" operator="lessThanOrEqual">
      <formula>10</formula>
    </cfRule>
  </conditionalFormatting>
  <conditionalFormatting sqref="N57:O57 T57:U57 Z57:AA57">
    <cfRule type="cellIs" dxfId="227" priority="8" operator="lessThanOrEqual">
      <formula>10</formula>
    </cfRule>
  </conditionalFormatting>
  <conditionalFormatting sqref="B140">
    <cfRule type="expression" dxfId="226" priority="2">
      <formula>$AK$140=TRUE</formula>
    </cfRule>
  </conditionalFormatting>
  <conditionalFormatting sqref="B146">
    <cfRule type="expression" dxfId="225" priority="1">
      <formula>$AK$146=TRUE</formula>
    </cfRule>
  </conditionalFormatting>
  <dataValidations count="2">
    <dataValidation type="list" allowBlank="1" showInputMessage="1" showErrorMessage="1" sqref="H163 O141:O144 O147:O152 O155:O160" xr:uid="{00000000-0002-0000-0100-000000000000}">
      <formula1>"&lt;,&gt;,&lt; &gt;, &lt;!,!&gt;,&lt;!&gt;"</formula1>
    </dataValidation>
    <dataValidation type="list" allowBlank="1" showInputMessage="1" showErrorMessage="1" sqref="N23 T23 Z23" xr:uid="{00000000-0002-0000-0100-000001000000}">
      <formula1>"15,16,17,18,19,20,21,22,23,24,25"</formula1>
    </dataValidation>
  </dataValidations>
  <pageMargins left="0.70866141732283472" right="0.55118110236220474" top="0.70866141732283472" bottom="0.70866141732283472" header="0.27559055118110237" footer="0.27559055118110237"/>
  <pageSetup paperSize="9" scale="65" fitToHeight="0" orientation="portrait" cellComments="asDisplayed" r:id="rId1"/>
  <headerFooter alignWithMargins="0">
    <oddFooter>&amp;L&amp;8
&amp;6Copyright by Brose. Alle Rechte vorbehalten&amp;8
&amp;C&amp;8
&amp;RStand 20.05.2023
Index  102</oddFooter>
  </headerFooter>
  <rowBreaks count="2" manualBreakCount="2">
    <brk id="61" min="1" max="27" man="1"/>
    <brk id="116" min="1" max="27" man="1"/>
  </rowBreaks>
  <drawing r:id="rId2"/>
  <legacyDrawing r:id="rId3"/>
  <mc:AlternateContent xmlns:mc="http://schemas.openxmlformats.org/markup-compatibility/2006">
    <mc:Choice Requires="x14">
      <controls>
        <mc:AlternateContent xmlns:mc="http://schemas.openxmlformats.org/markup-compatibility/2006">
          <mc:Choice Requires="x14">
            <control shapeId="31745" r:id="rId4" name="Drop Down 1">
              <controlPr defaultSize="0" print="0" autoLine="0" autoPict="0" macro="[0]!Dropdown2_BeiÄnderung">
                <anchor moveWithCells="1">
                  <from>
                    <xdr:col>2</xdr:col>
                    <xdr:colOff>295275</xdr:colOff>
                    <xdr:row>0</xdr:row>
                    <xdr:rowOff>123825</xdr:rowOff>
                  </from>
                  <to>
                    <xdr:col>8</xdr:col>
                    <xdr:colOff>285750</xdr:colOff>
                    <xdr:row>0</xdr:row>
                    <xdr:rowOff>381000</xdr:rowOff>
                  </to>
                </anchor>
              </controlPr>
            </control>
          </mc:Choice>
        </mc:AlternateContent>
        <mc:AlternateContent xmlns:mc="http://schemas.openxmlformats.org/markup-compatibility/2006">
          <mc:Choice Requires="x14">
            <control shapeId="31805" r:id="rId5" name="Drop Down 61">
              <controlPr defaultSize="0" autoLine="0" autoPict="0">
                <anchor moveWithCells="1">
                  <from>
                    <xdr:col>5</xdr:col>
                    <xdr:colOff>57150</xdr:colOff>
                    <xdr:row>166</xdr:row>
                    <xdr:rowOff>57150</xdr:rowOff>
                  </from>
                  <to>
                    <xdr:col>13</xdr:col>
                    <xdr:colOff>314325</xdr:colOff>
                    <xdr:row>166</xdr:row>
                    <xdr:rowOff>304800</xdr:rowOff>
                  </to>
                </anchor>
              </controlPr>
            </control>
          </mc:Choice>
        </mc:AlternateContent>
        <mc:AlternateContent xmlns:mc="http://schemas.openxmlformats.org/markup-compatibility/2006">
          <mc:Choice Requires="x14">
            <control shapeId="31831" r:id="rId6" name="Drop Down 87">
              <controlPr defaultSize="0" print="0" autoLine="0" autoPict="0" macro="[0]!Dropdown2_BeiÄnderung">
                <anchor moveWithCells="1">
                  <from>
                    <xdr:col>16</xdr:col>
                    <xdr:colOff>304800</xdr:colOff>
                    <xdr:row>0</xdr:row>
                    <xdr:rowOff>123825</xdr:rowOff>
                  </from>
                  <to>
                    <xdr:col>22</xdr:col>
                    <xdr:colOff>295275</xdr:colOff>
                    <xdr:row>0</xdr:row>
                    <xdr:rowOff>381000</xdr:rowOff>
                  </to>
                </anchor>
              </controlPr>
            </control>
          </mc:Choice>
        </mc:AlternateContent>
        <mc:AlternateContent xmlns:mc="http://schemas.openxmlformats.org/markup-compatibility/2006">
          <mc:Choice Requires="x14">
            <control shapeId="31848" r:id="rId7" name="Drop Down 104">
              <controlPr locked="0" defaultSize="0" autoLine="0" autoPict="0">
                <anchor moveWithCells="1">
                  <from>
                    <xdr:col>11</xdr:col>
                    <xdr:colOff>0</xdr:colOff>
                    <xdr:row>15</xdr:row>
                    <xdr:rowOff>19050</xdr:rowOff>
                  </from>
                  <to>
                    <xdr:col>14</xdr:col>
                    <xdr:colOff>314325</xdr:colOff>
                    <xdr:row>15</xdr:row>
                    <xdr:rowOff>228600</xdr:rowOff>
                  </to>
                </anchor>
              </controlPr>
            </control>
          </mc:Choice>
        </mc:AlternateContent>
        <mc:AlternateContent xmlns:mc="http://schemas.openxmlformats.org/markup-compatibility/2006">
          <mc:Choice Requires="x14">
            <control shapeId="31853" r:id="rId8" name="Drop Down 109">
              <controlPr locked="0" defaultSize="0" autoLine="0" autoPict="0">
                <anchor moveWithCells="1">
                  <from>
                    <xdr:col>7</xdr:col>
                    <xdr:colOff>0</xdr:colOff>
                    <xdr:row>38</xdr:row>
                    <xdr:rowOff>19050</xdr:rowOff>
                  </from>
                  <to>
                    <xdr:col>10</xdr:col>
                    <xdr:colOff>314325</xdr:colOff>
                    <xdr:row>38</xdr:row>
                    <xdr:rowOff>228600</xdr:rowOff>
                  </to>
                </anchor>
              </controlPr>
            </control>
          </mc:Choice>
        </mc:AlternateContent>
        <mc:AlternateContent xmlns:mc="http://schemas.openxmlformats.org/markup-compatibility/2006">
          <mc:Choice Requires="x14">
            <control shapeId="31854" r:id="rId9" name="Drop Down 110">
              <controlPr locked="0" defaultSize="0" autoLine="0" autoPict="0">
                <anchor moveWithCells="1">
                  <from>
                    <xdr:col>17</xdr:col>
                    <xdr:colOff>19050</xdr:colOff>
                    <xdr:row>15</xdr:row>
                    <xdr:rowOff>19050</xdr:rowOff>
                  </from>
                  <to>
                    <xdr:col>21</xdr:col>
                    <xdr:colOff>0</xdr:colOff>
                    <xdr:row>15</xdr:row>
                    <xdr:rowOff>228600</xdr:rowOff>
                  </to>
                </anchor>
              </controlPr>
            </control>
          </mc:Choice>
        </mc:AlternateContent>
        <mc:AlternateContent xmlns:mc="http://schemas.openxmlformats.org/markup-compatibility/2006">
          <mc:Choice Requires="x14">
            <control shapeId="31856" r:id="rId10" name="Drop Down 112">
              <controlPr locked="0" defaultSize="0" autoLine="0" autoPict="0">
                <anchor moveWithCells="1">
                  <from>
                    <xdr:col>23</xdr:col>
                    <xdr:colOff>19050</xdr:colOff>
                    <xdr:row>15</xdr:row>
                    <xdr:rowOff>19050</xdr:rowOff>
                  </from>
                  <to>
                    <xdr:col>27</xdr:col>
                    <xdr:colOff>0</xdr:colOff>
                    <xdr:row>15</xdr:row>
                    <xdr:rowOff>228600</xdr:rowOff>
                  </to>
                </anchor>
              </controlPr>
            </control>
          </mc:Choice>
        </mc:AlternateContent>
        <mc:AlternateContent xmlns:mc="http://schemas.openxmlformats.org/markup-compatibility/2006">
          <mc:Choice Requires="x14">
            <control shapeId="31868" r:id="rId11" name="Drop Down 124">
              <controlPr locked="0" defaultSize="0" autoLine="0" autoPict="0">
                <anchor moveWithCells="1">
                  <from>
                    <xdr:col>21</xdr:col>
                    <xdr:colOff>66675</xdr:colOff>
                    <xdr:row>11</xdr:row>
                    <xdr:rowOff>19050</xdr:rowOff>
                  </from>
                  <to>
                    <xdr:col>27</xdr:col>
                    <xdr:colOff>19050</xdr:colOff>
                    <xdr:row>11</xdr:row>
                    <xdr:rowOff>238125</xdr:rowOff>
                  </to>
                </anchor>
              </controlPr>
            </control>
          </mc:Choice>
        </mc:AlternateContent>
        <mc:AlternateContent xmlns:mc="http://schemas.openxmlformats.org/markup-compatibility/2006">
          <mc:Choice Requires="x14">
            <control shapeId="31870" r:id="rId12" name="Drop Down 126">
              <controlPr defaultSize="0" autoLine="0" autoPict="0">
                <anchor moveWithCells="1">
                  <from>
                    <xdr:col>21</xdr:col>
                    <xdr:colOff>76200</xdr:colOff>
                    <xdr:row>12</xdr:row>
                    <xdr:rowOff>19050</xdr:rowOff>
                  </from>
                  <to>
                    <xdr:col>27</xdr:col>
                    <xdr:colOff>19050</xdr:colOff>
                    <xdr:row>12</xdr:row>
                    <xdr:rowOff>238125</xdr:rowOff>
                  </to>
                </anchor>
              </controlPr>
            </control>
          </mc:Choice>
        </mc:AlternateContent>
        <mc:AlternateContent xmlns:mc="http://schemas.openxmlformats.org/markup-compatibility/2006">
          <mc:Choice Requires="x14">
            <control shapeId="31874" r:id="rId13" name="Check Box 130">
              <controlPr defaultSize="0" autoFill="0" autoLine="0" autoPict="0">
                <anchor moveWithCells="1">
                  <from>
                    <xdr:col>14</xdr:col>
                    <xdr:colOff>19050</xdr:colOff>
                    <xdr:row>82</xdr:row>
                    <xdr:rowOff>19050</xdr:rowOff>
                  </from>
                  <to>
                    <xdr:col>14</xdr:col>
                    <xdr:colOff>323850</xdr:colOff>
                    <xdr:row>82</xdr:row>
                    <xdr:rowOff>238125</xdr:rowOff>
                  </to>
                </anchor>
              </controlPr>
            </control>
          </mc:Choice>
        </mc:AlternateContent>
        <mc:AlternateContent xmlns:mc="http://schemas.openxmlformats.org/markup-compatibility/2006">
          <mc:Choice Requires="x14">
            <control shapeId="31875" r:id="rId14" name="Check Box 131">
              <controlPr defaultSize="0" autoFill="0" autoLine="0" autoPict="0">
                <anchor moveWithCells="1">
                  <from>
                    <xdr:col>12</xdr:col>
                    <xdr:colOff>19050</xdr:colOff>
                    <xdr:row>82</xdr:row>
                    <xdr:rowOff>19050</xdr:rowOff>
                  </from>
                  <to>
                    <xdr:col>12</xdr:col>
                    <xdr:colOff>323850</xdr:colOff>
                    <xdr:row>82</xdr:row>
                    <xdr:rowOff>238125</xdr:rowOff>
                  </to>
                </anchor>
              </controlPr>
            </control>
          </mc:Choice>
        </mc:AlternateContent>
        <mc:AlternateContent xmlns:mc="http://schemas.openxmlformats.org/markup-compatibility/2006">
          <mc:Choice Requires="x14">
            <control shapeId="31896" r:id="rId15" name="Check Box 152">
              <controlPr defaultSize="0" autoFill="0" autoLine="0" autoPict="0">
                <anchor moveWithCells="1">
                  <from>
                    <xdr:col>20</xdr:col>
                    <xdr:colOff>19050</xdr:colOff>
                    <xdr:row>82</xdr:row>
                    <xdr:rowOff>19050</xdr:rowOff>
                  </from>
                  <to>
                    <xdr:col>20</xdr:col>
                    <xdr:colOff>323850</xdr:colOff>
                    <xdr:row>82</xdr:row>
                    <xdr:rowOff>238125</xdr:rowOff>
                  </to>
                </anchor>
              </controlPr>
            </control>
          </mc:Choice>
        </mc:AlternateContent>
        <mc:AlternateContent xmlns:mc="http://schemas.openxmlformats.org/markup-compatibility/2006">
          <mc:Choice Requires="x14">
            <control shapeId="31897" r:id="rId16" name="Check Box 153">
              <controlPr defaultSize="0" autoFill="0" autoLine="0" autoPict="0">
                <anchor moveWithCells="1">
                  <from>
                    <xdr:col>18</xdr:col>
                    <xdr:colOff>19050</xdr:colOff>
                    <xdr:row>82</xdr:row>
                    <xdr:rowOff>19050</xdr:rowOff>
                  </from>
                  <to>
                    <xdr:col>18</xdr:col>
                    <xdr:colOff>323850</xdr:colOff>
                    <xdr:row>82</xdr:row>
                    <xdr:rowOff>238125</xdr:rowOff>
                  </to>
                </anchor>
              </controlPr>
            </control>
          </mc:Choice>
        </mc:AlternateContent>
        <mc:AlternateContent xmlns:mc="http://schemas.openxmlformats.org/markup-compatibility/2006">
          <mc:Choice Requires="x14">
            <control shapeId="31900" r:id="rId17" name="Check Box 156">
              <controlPr defaultSize="0" autoFill="0" autoLine="0" autoPict="0">
                <anchor moveWithCells="1">
                  <from>
                    <xdr:col>26</xdr:col>
                    <xdr:colOff>19050</xdr:colOff>
                    <xdr:row>82</xdr:row>
                    <xdr:rowOff>19050</xdr:rowOff>
                  </from>
                  <to>
                    <xdr:col>26</xdr:col>
                    <xdr:colOff>323850</xdr:colOff>
                    <xdr:row>82</xdr:row>
                    <xdr:rowOff>238125</xdr:rowOff>
                  </to>
                </anchor>
              </controlPr>
            </control>
          </mc:Choice>
        </mc:AlternateContent>
        <mc:AlternateContent xmlns:mc="http://schemas.openxmlformats.org/markup-compatibility/2006">
          <mc:Choice Requires="x14">
            <control shapeId="31901" r:id="rId18" name="Check Box 157">
              <controlPr defaultSize="0" autoFill="0" autoLine="0" autoPict="0">
                <anchor moveWithCells="1">
                  <from>
                    <xdr:col>24</xdr:col>
                    <xdr:colOff>19050</xdr:colOff>
                    <xdr:row>82</xdr:row>
                    <xdr:rowOff>19050</xdr:rowOff>
                  </from>
                  <to>
                    <xdr:col>24</xdr:col>
                    <xdr:colOff>323850</xdr:colOff>
                    <xdr:row>82</xdr:row>
                    <xdr:rowOff>238125</xdr:rowOff>
                  </to>
                </anchor>
              </controlPr>
            </control>
          </mc:Choice>
        </mc:AlternateContent>
        <mc:AlternateContent xmlns:mc="http://schemas.openxmlformats.org/markup-compatibility/2006">
          <mc:Choice Requires="x14">
            <control shapeId="31910" r:id="rId19" name="Check Box 166">
              <controlPr defaultSize="0" autoFill="0" autoLine="0" autoPict="0">
                <anchor moveWithCells="1">
                  <from>
                    <xdr:col>14</xdr:col>
                    <xdr:colOff>19050</xdr:colOff>
                    <xdr:row>83</xdr:row>
                    <xdr:rowOff>19050</xdr:rowOff>
                  </from>
                  <to>
                    <xdr:col>14</xdr:col>
                    <xdr:colOff>323850</xdr:colOff>
                    <xdr:row>83</xdr:row>
                    <xdr:rowOff>238125</xdr:rowOff>
                  </to>
                </anchor>
              </controlPr>
            </control>
          </mc:Choice>
        </mc:AlternateContent>
        <mc:AlternateContent xmlns:mc="http://schemas.openxmlformats.org/markup-compatibility/2006">
          <mc:Choice Requires="x14">
            <control shapeId="31911" r:id="rId20" name="Check Box 167">
              <controlPr defaultSize="0" autoFill="0" autoLine="0" autoPict="0">
                <anchor moveWithCells="1">
                  <from>
                    <xdr:col>12</xdr:col>
                    <xdr:colOff>19050</xdr:colOff>
                    <xdr:row>83</xdr:row>
                    <xdr:rowOff>19050</xdr:rowOff>
                  </from>
                  <to>
                    <xdr:col>12</xdr:col>
                    <xdr:colOff>323850</xdr:colOff>
                    <xdr:row>83</xdr:row>
                    <xdr:rowOff>238125</xdr:rowOff>
                  </to>
                </anchor>
              </controlPr>
            </control>
          </mc:Choice>
        </mc:AlternateContent>
        <mc:AlternateContent xmlns:mc="http://schemas.openxmlformats.org/markup-compatibility/2006">
          <mc:Choice Requires="x14">
            <control shapeId="31912" r:id="rId21" name="Check Box 168">
              <controlPr defaultSize="0" autoFill="0" autoLine="0" autoPict="0">
                <anchor moveWithCells="1">
                  <from>
                    <xdr:col>20</xdr:col>
                    <xdr:colOff>19050</xdr:colOff>
                    <xdr:row>83</xdr:row>
                    <xdr:rowOff>19050</xdr:rowOff>
                  </from>
                  <to>
                    <xdr:col>20</xdr:col>
                    <xdr:colOff>323850</xdr:colOff>
                    <xdr:row>83</xdr:row>
                    <xdr:rowOff>238125</xdr:rowOff>
                  </to>
                </anchor>
              </controlPr>
            </control>
          </mc:Choice>
        </mc:AlternateContent>
        <mc:AlternateContent xmlns:mc="http://schemas.openxmlformats.org/markup-compatibility/2006">
          <mc:Choice Requires="x14">
            <control shapeId="31913" r:id="rId22" name="Check Box 169">
              <controlPr defaultSize="0" autoFill="0" autoLine="0" autoPict="0">
                <anchor moveWithCells="1">
                  <from>
                    <xdr:col>18</xdr:col>
                    <xdr:colOff>19050</xdr:colOff>
                    <xdr:row>83</xdr:row>
                    <xdr:rowOff>19050</xdr:rowOff>
                  </from>
                  <to>
                    <xdr:col>18</xdr:col>
                    <xdr:colOff>323850</xdr:colOff>
                    <xdr:row>83</xdr:row>
                    <xdr:rowOff>238125</xdr:rowOff>
                  </to>
                </anchor>
              </controlPr>
            </control>
          </mc:Choice>
        </mc:AlternateContent>
        <mc:AlternateContent xmlns:mc="http://schemas.openxmlformats.org/markup-compatibility/2006">
          <mc:Choice Requires="x14">
            <control shapeId="31914" r:id="rId23" name="Check Box 170">
              <controlPr defaultSize="0" autoFill="0" autoLine="0" autoPict="0">
                <anchor moveWithCells="1">
                  <from>
                    <xdr:col>26</xdr:col>
                    <xdr:colOff>19050</xdr:colOff>
                    <xdr:row>83</xdr:row>
                    <xdr:rowOff>19050</xdr:rowOff>
                  </from>
                  <to>
                    <xdr:col>26</xdr:col>
                    <xdr:colOff>323850</xdr:colOff>
                    <xdr:row>83</xdr:row>
                    <xdr:rowOff>238125</xdr:rowOff>
                  </to>
                </anchor>
              </controlPr>
            </control>
          </mc:Choice>
        </mc:AlternateContent>
        <mc:AlternateContent xmlns:mc="http://schemas.openxmlformats.org/markup-compatibility/2006">
          <mc:Choice Requires="x14">
            <control shapeId="31915" r:id="rId24" name="Check Box 171">
              <controlPr defaultSize="0" autoFill="0" autoLine="0" autoPict="0">
                <anchor moveWithCells="1">
                  <from>
                    <xdr:col>24</xdr:col>
                    <xdr:colOff>19050</xdr:colOff>
                    <xdr:row>83</xdr:row>
                    <xdr:rowOff>19050</xdr:rowOff>
                  </from>
                  <to>
                    <xdr:col>24</xdr:col>
                    <xdr:colOff>323850</xdr:colOff>
                    <xdr:row>83</xdr:row>
                    <xdr:rowOff>238125</xdr:rowOff>
                  </to>
                </anchor>
              </controlPr>
            </control>
          </mc:Choice>
        </mc:AlternateContent>
        <mc:AlternateContent xmlns:mc="http://schemas.openxmlformats.org/markup-compatibility/2006">
          <mc:Choice Requires="x14">
            <control shapeId="31922" r:id="rId25" name="Check Box 178">
              <controlPr defaultSize="0" autoFill="0" autoLine="0" autoPict="0">
                <anchor moveWithCells="1">
                  <from>
                    <xdr:col>14</xdr:col>
                    <xdr:colOff>19050</xdr:colOff>
                    <xdr:row>91</xdr:row>
                    <xdr:rowOff>19050</xdr:rowOff>
                  </from>
                  <to>
                    <xdr:col>14</xdr:col>
                    <xdr:colOff>323850</xdr:colOff>
                    <xdr:row>91</xdr:row>
                    <xdr:rowOff>238125</xdr:rowOff>
                  </to>
                </anchor>
              </controlPr>
            </control>
          </mc:Choice>
        </mc:AlternateContent>
        <mc:AlternateContent xmlns:mc="http://schemas.openxmlformats.org/markup-compatibility/2006">
          <mc:Choice Requires="x14">
            <control shapeId="31923" r:id="rId26" name="Check Box 179">
              <controlPr defaultSize="0" autoFill="0" autoLine="0" autoPict="0">
                <anchor moveWithCells="1">
                  <from>
                    <xdr:col>12</xdr:col>
                    <xdr:colOff>19050</xdr:colOff>
                    <xdr:row>91</xdr:row>
                    <xdr:rowOff>19050</xdr:rowOff>
                  </from>
                  <to>
                    <xdr:col>12</xdr:col>
                    <xdr:colOff>323850</xdr:colOff>
                    <xdr:row>91</xdr:row>
                    <xdr:rowOff>238125</xdr:rowOff>
                  </to>
                </anchor>
              </controlPr>
            </control>
          </mc:Choice>
        </mc:AlternateContent>
        <mc:AlternateContent xmlns:mc="http://schemas.openxmlformats.org/markup-compatibility/2006">
          <mc:Choice Requires="x14">
            <control shapeId="31924" r:id="rId27" name="Check Box 180">
              <controlPr defaultSize="0" autoFill="0" autoLine="0" autoPict="0">
                <anchor moveWithCells="1">
                  <from>
                    <xdr:col>20</xdr:col>
                    <xdr:colOff>19050</xdr:colOff>
                    <xdr:row>91</xdr:row>
                    <xdr:rowOff>19050</xdr:rowOff>
                  </from>
                  <to>
                    <xdr:col>20</xdr:col>
                    <xdr:colOff>323850</xdr:colOff>
                    <xdr:row>91</xdr:row>
                    <xdr:rowOff>238125</xdr:rowOff>
                  </to>
                </anchor>
              </controlPr>
            </control>
          </mc:Choice>
        </mc:AlternateContent>
        <mc:AlternateContent xmlns:mc="http://schemas.openxmlformats.org/markup-compatibility/2006">
          <mc:Choice Requires="x14">
            <control shapeId="31925" r:id="rId28" name="Check Box 181">
              <controlPr defaultSize="0" autoFill="0" autoLine="0" autoPict="0">
                <anchor moveWithCells="1">
                  <from>
                    <xdr:col>18</xdr:col>
                    <xdr:colOff>19050</xdr:colOff>
                    <xdr:row>91</xdr:row>
                    <xdr:rowOff>19050</xdr:rowOff>
                  </from>
                  <to>
                    <xdr:col>18</xdr:col>
                    <xdr:colOff>323850</xdr:colOff>
                    <xdr:row>91</xdr:row>
                    <xdr:rowOff>238125</xdr:rowOff>
                  </to>
                </anchor>
              </controlPr>
            </control>
          </mc:Choice>
        </mc:AlternateContent>
        <mc:AlternateContent xmlns:mc="http://schemas.openxmlformats.org/markup-compatibility/2006">
          <mc:Choice Requires="x14">
            <control shapeId="31926" r:id="rId29" name="Check Box 182">
              <controlPr defaultSize="0" autoFill="0" autoLine="0" autoPict="0">
                <anchor moveWithCells="1">
                  <from>
                    <xdr:col>26</xdr:col>
                    <xdr:colOff>19050</xdr:colOff>
                    <xdr:row>91</xdr:row>
                    <xdr:rowOff>19050</xdr:rowOff>
                  </from>
                  <to>
                    <xdr:col>26</xdr:col>
                    <xdr:colOff>323850</xdr:colOff>
                    <xdr:row>91</xdr:row>
                    <xdr:rowOff>238125</xdr:rowOff>
                  </to>
                </anchor>
              </controlPr>
            </control>
          </mc:Choice>
        </mc:AlternateContent>
        <mc:AlternateContent xmlns:mc="http://schemas.openxmlformats.org/markup-compatibility/2006">
          <mc:Choice Requires="x14">
            <control shapeId="31927" r:id="rId30" name="Check Box 183">
              <controlPr defaultSize="0" autoFill="0" autoLine="0" autoPict="0">
                <anchor moveWithCells="1">
                  <from>
                    <xdr:col>24</xdr:col>
                    <xdr:colOff>19050</xdr:colOff>
                    <xdr:row>91</xdr:row>
                    <xdr:rowOff>19050</xdr:rowOff>
                  </from>
                  <to>
                    <xdr:col>24</xdr:col>
                    <xdr:colOff>323850</xdr:colOff>
                    <xdr:row>91</xdr:row>
                    <xdr:rowOff>238125</xdr:rowOff>
                  </to>
                </anchor>
              </controlPr>
            </control>
          </mc:Choice>
        </mc:AlternateContent>
        <mc:AlternateContent xmlns:mc="http://schemas.openxmlformats.org/markup-compatibility/2006">
          <mc:Choice Requires="x14">
            <control shapeId="31929" r:id="rId31" name="Check Box 185">
              <controlPr defaultSize="0" autoFill="0" autoLine="0" autoPict="0">
                <anchor moveWithCells="1">
                  <from>
                    <xdr:col>14</xdr:col>
                    <xdr:colOff>19050</xdr:colOff>
                    <xdr:row>93</xdr:row>
                    <xdr:rowOff>19050</xdr:rowOff>
                  </from>
                  <to>
                    <xdr:col>14</xdr:col>
                    <xdr:colOff>323850</xdr:colOff>
                    <xdr:row>93</xdr:row>
                    <xdr:rowOff>238125</xdr:rowOff>
                  </to>
                </anchor>
              </controlPr>
            </control>
          </mc:Choice>
        </mc:AlternateContent>
        <mc:AlternateContent xmlns:mc="http://schemas.openxmlformats.org/markup-compatibility/2006">
          <mc:Choice Requires="x14">
            <control shapeId="31930" r:id="rId32" name="Check Box 186">
              <controlPr defaultSize="0" autoFill="0" autoLine="0" autoPict="0">
                <anchor moveWithCells="1">
                  <from>
                    <xdr:col>12</xdr:col>
                    <xdr:colOff>19050</xdr:colOff>
                    <xdr:row>93</xdr:row>
                    <xdr:rowOff>19050</xdr:rowOff>
                  </from>
                  <to>
                    <xdr:col>12</xdr:col>
                    <xdr:colOff>323850</xdr:colOff>
                    <xdr:row>93</xdr:row>
                    <xdr:rowOff>238125</xdr:rowOff>
                  </to>
                </anchor>
              </controlPr>
            </control>
          </mc:Choice>
        </mc:AlternateContent>
        <mc:AlternateContent xmlns:mc="http://schemas.openxmlformats.org/markup-compatibility/2006">
          <mc:Choice Requires="x14">
            <control shapeId="31931" r:id="rId33" name="Check Box 187">
              <controlPr defaultSize="0" autoFill="0" autoLine="0" autoPict="0">
                <anchor moveWithCells="1">
                  <from>
                    <xdr:col>20</xdr:col>
                    <xdr:colOff>19050</xdr:colOff>
                    <xdr:row>93</xdr:row>
                    <xdr:rowOff>19050</xdr:rowOff>
                  </from>
                  <to>
                    <xdr:col>20</xdr:col>
                    <xdr:colOff>323850</xdr:colOff>
                    <xdr:row>93</xdr:row>
                    <xdr:rowOff>238125</xdr:rowOff>
                  </to>
                </anchor>
              </controlPr>
            </control>
          </mc:Choice>
        </mc:AlternateContent>
        <mc:AlternateContent xmlns:mc="http://schemas.openxmlformats.org/markup-compatibility/2006">
          <mc:Choice Requires="x14">
            <control shapeId="31932" r:id="rId34" name="Check Box 188">
              <controlPr defaultSize="0" autoFill="0" autoLine="0" autoPict="0">
                <anchor moveWithCells="1">
                  <from>
                    <xdr:col>18</xdr:col>
                    <xdr:colOff>19050</xdr:colOff>
                    <xdr:row>93</xdr:row>
                    <xdr:rowOff>19050</xdr:rowOff>
                  </from>
                  <to>
                    <xdr:col>18</xdr:col>
                    <xdr:colOff>323850</xdr:colOff>
                    <xdr:row>93</xdr:row>
                    <xdr:rowOff>238125</xdr:rowOff>
                  </to>
                </anchor>
              </controlPr>
            </control>
          </mc:Choice>
        </mc:AlternateContent>
        <mc:AlternateContent xmlns:mc="http://schemas.openxmlformats.org/markup-compatibility/2006">
          <mc:Choice Requires="x14">
            <control shapeId="31933" r:id="rId35" name="Check Box 189">
              <controlPr defaultSize="0" autoFill="0" autoLine="0" autoPict="0">
                <anchor moveWithCells="1">
                  <from>
                    <xdr:col>26</xdr:col>
                    <xdr:colOff>19050</xdr:colOff>
                    <xdr:row>93</xdr:row>
                    <xdr:rowOff>19050</xdr:rowOff>
                  </from>
                  <to>
                    <xdr:col>26</xdr:col>
                    <xdr:colOff>323850</xdr:colOff>
                    <xdr:row>93</xdr:row>
                    <xdr:rowOff>238125</xdr:rowOff>
                  </to>
                </anchor>
              </controlPr>
            </control>
          </mc:Choice>
        </mc:AlternateContent>
        <mc:AlternateContent xmlns:mc="http://schemas.openxmlformats.org/markup-compatibility/2006">
          <mc:Choice Requires="x14">
            <control shapeId="31934" r:id="rId36" name="Check Box 190">
              <controlPr defaultSize="0" autoFill="0" autoLine="0" autoPict="0">
                <anchor moveWithCells="1">
                  <from>
                    <xdr:col>24</xdr:col>
                    <xdr:colOff>19050</xdr:colOff>
                    <xdr:row>93</xdr:row>
                    <xdr:rowOff>19050</xdr:rowOff>
                  </from>
                  <to>
                    <xdr:col>24</xdr:col>
                    <xdr:colOff>323850</xdr:colOff>
                    <xdr:row>93</xdr:row>
                    <xdr:rowOff>238125</xdr:rowOff>
                  </to>
                </anchor>
              </controlPr>
            </control>
          </mc:Choice>
        </mc:AlternateContent>
        <mc:AlternateContent xmlns:mc="http://schemas.openxmlformats.org/markup-compatibility/2006">
          <mc:Choice Requires="x14">
            <control shapeId="31935" r:id="rId37" name="Check Box 191">
              <controlPr defaultSize="0" autoFill="0" autoLine="0" autoPict="0">
                <anchor moveWithCells="1">
                  <from>
                    <xdr:col>14</xdr:col>
                    <xdr:colOff>19050</xdr:colOff>
                    <xdr:row>97</xdr:row>
                    <xdr:rowOff>19050</xdr:rowOff>
                  </from>
                  <to>
                    <xdr:col>14</xdr:col>
                    <xdr:colOff>323850</xdr:colOff>
                    <xdr:row>97</xdr:row>
                    <xdr:rowOff>238125</xdr:rowOff>
                  </to>
                </anchor>
              </controlPr>
            </control>
          </mc:Choice>
        </mc:AlternateContent>
        <mc:AlternateContent xmlns:mc="http://schemas.openxmlformats.org/markup-compatibility/2006">
          <mc:Choice Requires="x14">
            <control shapeId="31936" r:id="rId38" name="Check Box 192">
              <controlPr defaultSize="0" autoFill="0" autoLine="0" autoPict="0">
                <anchor moveWithCells="1">
                  <from>
                    <xdr:col>12</xdr:col>
                    <xdr:colOff>19050</xdr:colOff>
                    <xdr:row>97</xdr:row>
                    <xdr:rowOff>9525</xdr:rowOff>
                  </from>
                  <to>
                    <xdr:col>12</xdr:col>
                    <xdr:colOff>323850</xdr:colOff>
                    <xdr:row>97</xdr:row>
                    <xdr:rowOff>247650</xdr:rowOff>
                  </to>
                </anchor>
              </controlPr>
            </control>
          </mc:Choice>
        </mc:AlternateContent>
        <mc:AlternateContent xmlns:mc="http://schemas.openxmlformats.org/markup-compatibility/2006">
          <mc:Choice Requires="x14">
            <control shapeId="31937" r:id="rId39" name="Check Box 193">
              <controlPr defaultSize="0" autoFill="0" autoLine="0" autoPict="0">
                <anchor moveWithCells="1">
                  <from>
                    <xdr:col>20</xdr:col>
                    <xdr:colOff>19050</xdr:colOff>
                    <xdr:row>97</xdr:row>
                    <xdr:rowOff>19050</xdr:rowOff>
                  </from>
                  <to>
                    <xdr:col>20</xdr:col>
                    <xdr:colOff>323850</xdr:colOff>
                    <xdr:row>97</xdr:row>
                    <xdr:rowOff>238125</xdr:rowOff>
                  </to>
                </anchor>
              </controlPr>
            </control>
          </mc:Choice>
        </mc:AlternateContent>
        <mc:AlternateContent xmlns:mc="http://schemas.openxmlformats.org/markup-compatibility/2006">
          <mc:Choice Requires="x14">
            <control shapeId="31938" r:id="rId40" name="Check Box 194">
              <controlPr defaultSize="0" autoFill="0" autoLine="0" autoPict="0">
                <anchor moveWithCells="1">
                  <from>
                    <xdr:col>18</xdr:col>
                    <xdr:colOff>19050</xdr:colOff>
                    <xdr:row>97</xdr:row>
                    <xdr:rowOff>19050</xdr:rowOff>
                  </from>
                  <to>
                    <xdr:col>18</xdr:col>
                    <xdr:colOff>323850</xdr:colOff>
                    <xdr:row>97</xdr:row>
                    <xdr:rowOff>238125</xdr:rowOff>
                  </to>
                </anchor>
              </controlPr>
            </control>
          </mc:Choice>
        </mc:AlternateContent>
        <mc:AlternateContent xmlns:mc="http://schemas.openxmlformats.org/markup-compatibility/2006">
          <mc:Choice Requires="x14">
            <control shapeId="31939" r:id="rId41" name="Check Box 195">
              <controlPr defaultSize="0" autoFill="0" autoLine="0" autoPict="0">
                <anchor moveWithCells="1">
                  <from>
                    <xdr:col>26</xdr:col>
                    <xdr:colOff>19050</xdr:colOff>
                    <xdr:row>97</xdr:row>
                    <xdr:rowOff>19050</xdr:rowOff>
                  </from>
                  <to>
                    <xdr:col>26</xdr:col>
                    <xdr:colOff>323850</xdr:colOff>
                    <xdr:row>97</xdr:row>
                    <xdr:rowOff>238125</xdr:rowOff>
                  </to>
                </anchor>
              </controlPr>
            </control>
          </mc:Choice>
        </mc:AlternateContent>
        <mc:AlternateContent xmlns:mc="http://schemas.openxmlformats.org/markup-compatibility/2006">
          <mc:Choice Requires="x14">
            <control shapeId="31940" r:id="rId42" name="Check Box 196">
              <controlPr defaultSize="0" autoFill="0" autoLine="0" autoPict="0">
                <anchor moveWithCells="1">
                  <from>
                    <xdr:col>24</xdr:col>
                    <xdr:colOff>19050</xdr:colOff>
                    <xdr:row>97</xdr:row>
                    <xdr:rowOff>19050</xdr:rowOff>
                  </from>
                  <to>
                    <xdr:col>24</xdr:col>
                    <xdr:colOff>323850</xdr:colOff>
                    <xdr:row>97</xdr:row>
                    <xdr:rowOff>238125</xdr:rowOff>
                  </to>
                </anchor>
              </controlPr>
            </control>
          </mc:Choice>
        </mc:AlternateContent>
        <mc:AlternateContent xmlns:mc="http://schemas.openxmlformats.org/markup-compatibility/2006">
          <mc:Choice Requires="x14">
            <control shapeId="31953" r:id="rId43" name="Drop Down 209">
              <controlPr defaultSize="0" autoLine="0" autoPict="0">
                <anchor moveWithCells="1">
                  <from>
                    <xdr:col>12</xdr:col>
                    <xdr:colOff>285750</xdr:colOff>
                    <xdr:row>100</xdr:row>
                    <xdr:rowOff>19050</xdr:rowOff>
                  </from>
                  <to>
                    <xdr:col>15</xdr:col>
                    <xdr:colOff>314325</xdr:colOff>
                    <xdr:row>100</xdr:row>
                    <xdr:rowOff>247650</xdr:rowOff>
                  </to>
                </anchor>
              </controlPr>
            </control>
          </mc:Choice>
        </mc:AlternateContent>
        <mc:AlternateContent xmlns:mc="http://schemas.openxmlformats.org/markup-compatibility/2006">
          <mc:Choice Requires="x14">
            <control shapeId="31956" r:id="rId44" name="Drop Down 212">
              <controlPr defaultSize="0" autoLine="0" autoPict="0">
                <anchor moveWithCells="1">
                  <from>
                    <xdr:col>18</xdr:col>
                    <xdr:colOff>285750</xdr:colOff>
                    <xdr:row>100</xdr:row>
                    <xdr:rowOff>19050</xdr:rowOff>
                  </from>
                  <to>
                    <xdr:col>22</xdr:col>
                    <xdr:colOff>0</xdr:colOff>
                    <xdr:row>100</xdr:row>
                    <xdr:rowOff>247650</xdr:rowOff>
                  </to>
                </anchor>
              </controlPr>
            </control>
          </mc:Choice>
        </mc:AlternateContent>
        <mc:AlternateContent xmlns:mc="http://schemas.openxmlformats.org/markup-compatibility/2006">
          <mc:Choice Requires="x14">
            <control shapeId="31957" r:id="rId45" name="Drop Down 213">
              <controlPr defaultSize="0" autoLine="0" autoPict="0">
                <anchor moveWithCells="1">
                  <from>
                    <xdr:col>24</xdr:col>
                    <xdr:colOff>276225</xdr:colOff>
                    <xdr:row>100</xdr:row>
                    <xdr:rowOff>9525</xdr:rowOff>
                  </from>
                  <to>
                    <xdr:col>27</xdr:col>
                    <xdr:colOff>323850</xdr:colOff>
                    <xdr:row>100</xdr:row>
                    <xdr:rowOff>238125</xdr:rowOff>
                  </to>
                </anchor>
              </controlPr>
            </control>
          </mc:Choice>
        </mc:AlternateContent>
        <mc:AlternateContent xmlns:mc="http://schemas.openxmlformats.org/markup-compatibility/2006">
          <mc:Choice Requires="x14">
            <control shapeId="31963" r:id="rId46" name="Check Box 219">
              <controlPr defaultSize="0" autoFill="0" autoLine="0" autoPict="0">
                <anchor moveWithCells="1">
                  <from>
                    <xdr:col>27</xdr:col>
                    <xdr:colOff>19050</xdr:colOff>
                    <xdr:row>120</xdr:row>
                    <xdr:rowOff>19050</xdr:rowOff>
                  </from>
                  <to>
                    <xdr:col>27</xdr:col>
                    <xdr:colOff>323850</xdr:colOff>
                    <xdr:row>120</xdr:row>
                    <xdr:rowOff>238125</xdr:rowOff>
                  </to>
                </anchor>
              </controlPr>
            </control>
          </mc:Choice>
        </mc:AlternateContent>
        <mc:AlternateContent xmlns:mc="http://schemas.openxmlformats.org/markup-compatibility/2006">
          <mc:Choice Requires="x14">
            <control shapeId="31964" r:id="rId47" name="Check Box 220">
              <controlPr defaultSize="0" autoFill="0" autoLine="0" autoPict="0">
                <anchor moveWithCells="1">
                  <from>
                    <xdr:col>25</xdr:col>
                    <xdr:colOff>19050</xdr:colOff>
                    <xdr:row>120</xdr:row>
                    <xdr:rowOff>19050</xdr:rowOff>
                  </from>
                  <to>
                    <xdr:col>25</xdr:col>
                    <xdr:colOff>323850</xdr:colOff>
                    <xdr:row>120</xdr:row>
                    <xdr:rowOff>238125</xdr:rowOff>
                  </to>
                </anchor>
              </controlPr>
            </control>
          </mc:Choice>
        </mc:AlternateContent>
        <mc:AlternateContent xmlns:mc="http://schemas.openxmlformats.org/markup-compatibility/2006">
          <mc:Choice Requires="x14">
            <control shapeId="31965" r:id="rId48" name="Check Box 221">
              <controlPr defaultSize="0" autoFill="0" autoLine="0" autoPict="0">
                <anchor moveWithCells="1">
                  <from>
                    <xdr:col>27</xdr:col>
                    <xdr:colOff>19050</xdr:colOff>
                    <xdr:row>121</xdr:row>
                    <xdr:rowOff>19050</xdr:rowOff>
                  </from>
                  <to>
                    <xdr:col>27</xdr:col>
                    <xdr:colOff>323850</xdr:colOff>
                    <xdr:row>121</xdr:row>
                    <xdr:rowOff>238125</xdr:rowOff>
                  </to>
                </anchor>
              </controlPr>
            </control>
          </mc:Choice>
        </mc:AlternateContent>
        <mc:AlternateContent xmlns:mc="http://schemas.openxmlformats.org/markup-compatibility/2006">
          <mc:Choice Requires="x14">
            <control shapeId="31966" r:id="rId49" name="Check Box 222">
              <controlPr defaultSize="0" autoFill="0" autoLine="0" autoPict="0">
                <anchor moveWithCells="1">
                  <from>
                    <xdr:col>25</xdr:col>
                    <xdr:colOff>19050</xdr:colOff>
                    <xdr:row>121</xdr:row>
                    <xdr:rowOff>19050</xdr:rowOff>
                  </from>
                  <to>
                    <xdr:col>25</xdr:col>
                    <xdr:colOff>323850</xdr:colOff>
                    <xdr:row>121</xdr:row>
                    <xdr:rowOff>238125</xdr:rowOff>
                  </to>
                </anchor>
              </controlPr>
            </control>
          </mc:Choice>
        </mc:AlternateContent>
        <mc:AlternateContent xmlns:mc="http://schemas.openxmlformats.org/markup-compatibility/2006">
          <mc:Choice Requires="x14">
            <control shapeId="31967" r:id="rId50" name="Check Box 223">
              <controlPr defaultSize="0" autoFill="0" autoLine="0" autoPict="0">
                <anchor moveWithCells="1">
                  <from>
                    <xdr:col>27</xdr:col>
                    <xdr:colOff>19050</xdr:colOff>
                    <xdr:row>122</xdr:row>
                    <xdr:rowOff>19050</xdr:rowOff>
                  </from>
                  <to>
                    <xdr:col>27</xdr:col>
                    <xdr:colOff>323850</xdr:colOff>
                    <xdr:row>122</xdr:row>
                    <xdr:rowOff>238125</xdr:rowOff>
                  </to>
                </anchor>
              </controlPr>
            </control>
          </mc:Choice>
        </mc:AlternateContent>
        <mc:AlternateContent xmlns:mc="http://schemas.openxmlformats.org/markup-compatibility/2006">
          <mc:Choice Requires="x14">
            <control shapeId="31968" r:id="rId51" name="Check Box 224">
              <controlPr defaultSize="0" autoFill="0" autoLine="0" autoPict="0">
                <anchor moveWithCells="1">
                  <from>
                    <xdr:col>25</xdr:col>
                    <xdr:colOff>19050</xdr:colOff>
                    <xdr:row>122</xdr:row>
                    <xdr:rowOff>19050</xdr:rowOff>
                  </from>
                  <to>
                    <xdr:col>25</xdr:col>
                    <xdr:colOff>323850</xdr:colOff>
                    <xdr:row>122</xdr:row>
                    <xdr:rowOff>238125</xdr:rowOff>
                  </to>
                </anchor>
              </controlPr>
            </control>
          </mc:Choice>
        </mc:AlternateContent>
        <mc:AlternateContent xmlns:mc="http://schemas.openxmlformats.org/markup-compatibility/2006">
          <mc:Choice Requires="x14">
            <control shapeId="31969" r:id="rId52" name="Drop Down 225">
              <controlPr defaultSize="0" autoLine="0" autoPict="0">
                <anchor moveWithCells="1">
                  <from>
                    <xdr:col>20</xdr:col>
                    <xdr:colOff>323850</xdr:colOff>
                    <xdr:row>122</xdr:row>
                    <xdr:rowOff>9525</xdr:rowOff>
                  </from>
                  <to>
                    <xdr:col>24</xdr:col>
                    <xdr:colOff>219075</xdr:colOff>
                    <xdr:row>122</xdr:row>
                    <xdr:rowOff>238125</xdr:rowOff>
                  </to>
                </anchor>
              </controlPr>
            </control>
          </mc:Choice>
        </mc:AlternateContent>
        <mc:AlternateContent xmlns:mc="http://schemas.openxmlformats.org/markup-compatibility/2006">
          <mc:Choice Requires="x14">
            <control shapeId="31970" r:id="rId53" name="Drop Down 226">
              <controlPr defaultSize="0" autoLine="0" autoPict="0">
                <anchor moveWithCells="1">
                  <from>
                    <xdr:col>20</xdr:col>
                    <xdr:colOff>323850</xdr:colOff>
                    <xdr:row>120</xdr:row>
                    <xdr:rowOff>9525</xdr:rowOff>
                  </from>
                  <to>
                    <xdr:col>24</xdr:col>
                    <xdr:colOff>219075</xdr:colOff>
                    <xdr:row>120</xdr:row>
                    <xdr:rowOff>238125</xdr:rowOff>
                  </to>
                </anchor>
              </controlPr>
            </control>
          </mc:Choice>
        </mc:AlternateContent>
        <mc:AlternateContent xmlns:mc="http://schemas.openxmlformats.org/markup-compatibility/2006">
          <mc:Choice Requires="x14">
            <control shapeId="31971" r:id="rId54" name="Drop Down 227">
              <controlPr defaultSize="0" autoLine="0" autoPict="0">
                <anchor moveWithCells="1">
                  <from>
                    <xdr:col>20</xdr:col>
                    <xdr:colOff>323850</xdr:colOff>
                    <xdr:row>121</xdr:row>
                    <xdr:rowOff>9525</xdr:rowOff>
                  </from>
                  <to>
                    <xdr:col>24</xdr:col>
                    <xdr:colOff>219075</xdr:colOff>
                    <xdr:row>121</xdr:row>
                    <xdr:rowOff>238125</xdr:rowOff>
                  </to>
                </anchor>
              </controlPr>
            </control>
          </mc:Choice>
        </mc:AlternateContent>
        <mc:AlternateContent xmlns:mc="http://schemas.openxmlformats.org/markup-compatibility/2006">
          <mc:Choice Requires="x14">
            <control shapeId="31972" r:id="rId55" name="Drop Down 228">
              <controlPr defaultSize="0" autoLine="0" autoPict="0">
                <anchor moveWithCells="1">
                  <from>
                    <xdr:col>20</xdr:col>
                    <xdr:colOff>323850</xdr:colOff>
                    <xdr:row>119</xdr:row>
                    <xdr:rowOff>9525</xdr:rowOff>
                  </from>
                  <to>
                    <xdr:col>24</xdr:col>
                    <xdr:colOff>219075</xdr:colOff>
                    <xdr:row>119</xdr:row>
                    <xdr:rowOff>238125</xdr:rowOff>
                  </to>
                </anchor>
              </controlPr>
            </control>
          </mc:Choice>
        </mc:AlternateContent>
        <mc:AlternateContent xmlns:mc="http://schemas.openxmlformats.org/markup-compatibility/2006">
          <mc:Choice Requires="x14">
            <control shapeId="31973" r:id="rId56" name="Check Box 229">
              <controlPr defaultSize="0" autoFill="0" autoLine="0" autoPict="0">
                <anchor moveWithCells="1">
                  <from>
                    <xdr:col>27</xdr:col>
                    <xdr:colOff>19050</xdr:colOff>
                    <xdr:row>119</xdr:row>
                    <xdr:rowOff>19050</xdr:rowOff>
                  </from>
                  <to>
                    <xdr:col>27</xdr:col>
                    <xdr:colOff>323850</xdr:colOff>
                    <xdr:row>119</xdr:row>
                    <xdr:rowOff>238125</xdr:rowOff>
                  </to>
                </anchor>
              </controlPr>
            </control>
          </mc:Choice>
        </mc:AlternateContent>
        <mc:AlternateContent xmlns:mc="http://schemas.openxmlformats.org/markup-compatibility/2006">
          <mc:Choice Requires="x14">
            <control shapeId="31974" r:id="rId57" name="Check Box 230">
              <controlPr defaultSize="0" autoFill="0" autoLine="0" autoPict="0">
                <anchor moveWithCells="1">
                  <from>
                    <xdr:col>25</xdr:col>
                    <xdr:colOff>19050</xdr:colOff>
                    <xdr:row>119</xdr:row>
                    <xdr:rowOff>19050</xdr:rowOff>
                  </from>
                  <to>
                    <xdr:col>25</xdr:col>
                    <xdr:colOff>323850</xdr:colOff>
                    <xdr:row>119</xdr:row>
                    <xdr:rowOff>238125</xdr:rowOff>
                  </to>
                </anchor>
              </controlPr>
            </control>
          </mc:Choice>
        </mc:AlternateContent>
        <mc:AlternateContent xmlns:mc="http://schemas.openxmlformats.org/markup-compatibility/2006">
          <mc:Choice Requires="x14">
            <control shapeId="31975" r:id="rId58" name="Check Box 231">
              <controlPr defaultSize="0" autoFill="0" autoLine="0" autoPict="0">
                <anchor moveWithCells="1">
                  <from>
                    <xdr:col>13</xdr:col>
                    <xdr:colOff>19050</xdr:colOff>
                    <xdr:row>121</xdr:row>
                    <xdr:rowOff>19050</xdr:rowOff>
                  </from>
                  <to>
                    <xdr:col>13</xdr:col>
                    <xdr:colOff>323850</xdr:colOff>
                    <xdr:row>121</xdr:row>
                    <xdr:rowOff>238125</xdr:rowOff>
                  </to>
                </anchor>
              </controlPr>
            </control>
          </mc:Choice>
        </mc:AlternateContent>
        <mc:AlternateContent xmlns:mc="http://schemas.openxmlformats.org/markup-compatibility/2006">
          <mc:Choice Requires="x14">
            <control shapeId="31976" r:id="rId59" name="Check Box 232">
              <controlPr defaultSize="0" autoFill="0" autoLine="0" autoPict="0">
                <anchor moveWithCells="1">
                  <from>
                    <xdr:col>11</xdr:col>
                    <xdr:colOff>19050</xdr:colOff>
                    <xdr:row>121</xdr:row>
                    <xdr:rowOff>19050</xdr:rowOff>
                  </from>
                  <to>
                    <xdr:col>11</xdr:col>
                    <xdr:colOff>323850</xdr:colOff>
                    <xdr:row>121</xdr:row>
                    <xdr:rowOff>238125</xdr:rowOff>
                  </to>
                </anchor>
              </controlPr>
            </control>
          </mc:Choice>
        </mc:AlternateContent>
        <mc:AlternateContent xmlns:mc="http://schemas.openxmlformats.org/markup-compatibility/2006">
          <mc:Choice Requires="x14">
            <control shapeId="31978" r:id="rId60" name="Check Box 234">
              <controlPr defaultSize="0" autoFill="0" autoLine="0" autoPict="0">
                <anchor moveWithCells="1">
                  <from>
                    <xdr:col>13</xdr:col>
                    <xdr:colOff>19050</xdr:colOff>
                    <xdr:row>120</xdr:row>
                    <xdr:rowOff>19050</xdr:rowOff>
                  </from>
                  <to>
                    <xdr:col>13</xdr:col>
                    <xdr:colOff>323850</xdr:colOff>
                    <xdr:row>120</xdr:row>
                    <xdr:rowOff>238125</xdr:rowOff>
                  </to>
                </anchor>
              </controlPr>
            </control>
          </mc:Choice>
        </mc:AlternateContent>
        <mc:AlternateContent xmlns:mc="http://schemas.openxmlformats.org/markup-compatibility/2006">
          <mc:Choice Requires="x14">
            <control shapeId="31979" r:id="rId61" name="Check Box 235">
              <controlPr defaultSize="0" autoFill="0" autoLine="0" autoPict="0">
                <anchor moveWithCells="1">
                  <from>
                    <xdr:col>11</xdr:col>
                    <xdr:colOff>19050</xdr:colOff>
                    <xdr:row>120</xdr:row>
                    <xdr:rowOff>19050</xdr:rowOff>
                  </from>
                  <to>
                    <xdr:col>11</xdr:col>
                    <xdr:colOff>323850</xdr:colOff>
                    <xdr:row>120</xdr:row>
                    <xdr:rowOff>238125</xdr:rowOff>
                  </to>
                </anchor>
              </controlPr>
            </control>
          </mc:Choice>
        </mc:AlternateContent>
        <mc:AlternateContent xmlns:mc="http://schemas.openxmlformats.org/markup-compatibility/2006">
          <mc:Choice Requires="x14">
            <control shapeId="31980" r:id="rId62" name="Drop Down 236">
              <controlPr defaultSize="0" autoLine="0" autoPict="0">
                <anchor moveWithCells="1">
                  <from>
                    <xdr:col>10</xdr:col>
                    <xdr:colOff>38100</xdr:colOff>
                    <xdr:row>125</xdr:row>
                    <xdr:rowOff>19050</xdr:rowOff>
                  </from>
                  <to>
                    <xdr:col>16</xdr:col>
                    <xdr:colOff>0</xdr:colOff>
                    <xdr:row>125</xdr:row>
                    <xdr:rowOff>247650</xdr:rowOff>
                  </to>
                </anchor>
              </controlPr>
            </control>
          </mc:Choice>
        </mc:AlternateContent>
        <mc:AlternateContent xmlns:mc="http://schemas.openxmlformats.org/markup-compatibility/2006">
          <mc:Choice Requires="x14">
            <control shapeId="31981" r:id="rId63" name="Drop Down 237">
              <controlPr defaultSize="0" autoLine="0" autoPict="0">
                <anchor moveWithCells="1">
                  <from>
                    <xdr:col>22</xdr:col>
                    <xdr:colOff>38100</xdr:colOff>
                    <xdr:row>125</xdr:row>
                    <xdr:rowOff>19050</xdr:rowOff>
                  </from>
                  <to>
                    <xdr:col>28</xdr:col>
                    <xdr:colOff>0</xdr:colOff>
                    <xdr:row>125</xdr:row>
                    <xdr:rowOff>247650</xdr:rowOff>
                  </to>
                </anchor>
              </controlPr>
            </control>
          </mc:Choice>
        </mc:AlternateContent>
        <mc:AlternateContent xmlns:mc="http://schemas.openxmlformats.org/markup-compatibility/2006">
          <mc:Choice Requires="x14">
            <control shapeId="31982" r:id="rId64" name="Drop Down 238">
              <controlPr defaultSize="0" autoLine="0" autoPict="0">
                <anchor moveWithCells="1">
                  <from>
                    <xdr:col>16</xdr:col>
                    <xdr:colOff>38100</xdr:colOff>
                    <xdr:row>125</xdr:row>
                    <xdr:rowOff>19050</xdr:rowOff>
                  </from>
                  <to>
                    <xdr:col>22</xdr:col>
                    <xdr:colOff>0</xdr:colOff>
                    <xdr:row>125</xdr:row>
                    <xdr:rowOff>247650</xdr:rowOff>
                  </to>
                </anchor>
              </controlPr>
            </control>
          </mc:Choice>
        </mc:AlternateContent>
        <mc:AlternateContent xmlns:mc="http://schemas.openxmlformats.org/markup-compatibility/2006">
          <mc:Choice Requires="x14">
            <control shapeId="31983" r:id="rId65" name="Drop Down 239">
              <controlPr defaultSize="0" autoLine="0" autoPict="0">
                <anchor moveWithCells="1">
                  <from>
                    <xdr:col>10</xdr:col>
                    <xdr:colOff>38100</xdr:colOff>
                    <xdr:row>128</xdr:row>
                    <xdr:rowOff>9525</xdr:rowOff>
                  </from>
                  <to>
                    <xdr:col>16</xdr:col>
                    <xdr:colOff>0</xdr:colOff>
                    <xdr:row>128</xdr:row>
                    <xdr:rowOff>238125</xdr:rowOff>
                  </to>
                </anchor>
              </controlPr>
            </control>
          </mc:Choice>
        </mc:AlternateContent>
        <mc:AlternateContent xmlns:mc="http://schemas.openxmlformats.org/markup-compatibility/2006">
          <mc:Choice Requires="x14">
            <control shapeId="31984" r:id="rId66" name="Drop Down 240">
              <controlPr defaultSize="0" autoLine="0" autoPict="0">
                <anchor moveWithCells="1">
                  <from>
                    <xdr:col>16</xdr:col>
                    <xdr:colOff>38100</xdr:colOff>
                    <xdr:row>128</xdr:row>
                    <xdr:rowOff>9525</xdr:rowOff>
                  </from>
                  <to>
                    <xdr:col>22</xdr:col>
                    <xdr:colOff>0</xdr:colOff>
                    <xdr:row>128</xdr:row>
                    <xdr:rowOff>238125</xdr:rowOff>
                  </to>
                </anchor>
              </controlPr>
            </control>
          </mc:Choice>
        </mc:AlternateContent>
        <mc:AlternateContent xmlns:mc="http://schemas.openxmlformats.org/markup-compatibility/2006">
          <mc:Choice Requires="x14">
            <control shapeId="31985" r:id="rId67" name="Drop Down 241">
              <controlPr defaultSize="0" autoLine="0" autoPict="0">
                <anchor moveWithCells="1">
                  <from>
                    <xdr:col>22</xdr:col>
                    <xdr:colOff>38100</xdr:colOff>
                    <xdr:row>128</xdr:row>
                    <xdr:rowOff>9525</xdr:rowOff>
                  </from>
                  <to>
                    <xdr:col>28</xdr:col>
                    <xdr:colOff>0</xdr:colOff>
                    <xdr:row>128</xdr:row>
                    <xdr:rowOff>238125</xdr:rowOff>
                  </to>
                </anchor>
              </controlPr>
            </control>
          </mc:Choice>
        </mc:AlternateContent>
        <mc:AlternateContent xmlns:mc="http://schemas.openxmlformats.org/markup-compatibility/2006">
          <mc:Choice Requires="x14">
            <control shapeId="31986" r:id="rId68" name="Drop Down 242">
              <controlPr defaultSize="0" autoLine="0" autoPict="0">
                <anchor moveWithCells="1">
                  <from>
                    <xdr:col>10</xdr:col>
                    <xdr:colOff>38100</xdr:colOff>
                    <xdr:row>131</xdr:row>
                    <xdr:rowOff>19050</xdr:rowOff>
                  </from>
                  <to>
                    <xdr:col>16</xdr:col>
                    <xdr:colOff>0</xdr:colOff>
                    <xdr:row>131</xdr:row>
                    <xdr:rowOff>247650</xdr:rowOff>
                  </to>
                </anchor>
              </controlPr>
            </control>
          </mc:Choice>
        </mc:AlternateContent>
        <mc:AlternateContent xmlns:mc="http://schemas.openxmlformats.org/markup-compatibility/2006">
          <mc:Choice Requires="x14">
            <control shapeId="31987" r:id="rId69" name="Drop Down 243">
              <controlPr defaultSize="0" autoLine="0" autoPict="0">
                <anchor moveWithCells="1">
                  <from>
                    <xdr:col>16</xdr:col>
                    <xdr:colOff>38100</xdr:colOff>
                    <xdr:row>131</xdr:row>
                    <xdr:rowOff>19050</xdr:rowOff>
                  </from>
                  <to>
                    <xdr:col>22</xdr:col>
                    <xdr:colOff>0</xdr:colOff>
                    <xdr:row>131</xdr:row>
                    <xdr:rowOff>247650</xdr:rowOff>
                  </to>
                </anchor>
              </controlPr>
            </control>
          </mc:Choice>
        </mc:AlternateContent>
        <mc:AlternateContent xmlns:mc="http://schemas.openxmlformats.org/markup-compatibility/2006">
          <mc:Choice Requires="x14">
            <control shapeId="31988" r:id="rId70" name="Drop Down 244">
              <controlPr defaultSize="0" autoLine="0" autoPict="0">
                <anchor moveWithCells="1">
                  <from>
                    <xdr:col>22</xdr:col>
                    <xdr:colOff>28575</xdr:colOff>
                    <xdr:row>131</xdr:row>
                    <xdr:rowOff>19050</xdr:rowOff>
                  </from>
                  <to>
                    <xdr:col>27</xdr:col>
                    <xdr:colOff>323850</xdr:colOff>
                    <xdr:row>131</xdr:row>
                    <xdr:rowOff>247650</xdr:rowOff>
                  </to>
                </anchor>
              </controlPr>
            </control>
          </mc:Choice>
        </mc:AlternateContent>
        <mc:AlternateContent xmlns:mc="http://schemas.openxmlformats.org/markup-compatibility/2006">
          <mc:Choice Requires="x14">
            <control shapeId="31989" r:id="rId71" name="Drop Down 245">
              <controlPr defaultSize="0" autoLine="0" autoPict="0">
                <anchor moveWithCells="1">
                  <from>
                    <xdr:col>10</xdr:col>
                    <xdr:colOff>38100</xdr:colOff>
                    <xdr:row>135</xdr:row>
                    <xdr:rowOff>9525</xdr:rowOff>
                  </from>
                  <to>
                    <xdr:col>16</xdr:col>
                    <xdr:colOff>0</xdr:colOff>
                    <xdr:row>135</xdr:row>
                    <xdr:rowOff>238125</xdr:rowOff>
                  </to>
                </anchor>
              </controlPr>
            </control>
          </mc:Choice>
        </mc:AlternateContent>
        <mc:AlternateContent xmlns:mc="http://schemas.openxmlformats.org/markup-compatibility/2006">
          <mc:Choice Requires="x14">
            <control shapeId="31990" r:id="rId72" name="Drop Down 246">
              <controlPr defaultSize="0" autoLine="0" autoPict="0">
                <anchor moveWithCells="1">
                  <from>
                    <xdr:col>16</xdr:col>
                    <xdr:colOff>38100</xdr:colOff>
                    <xdr:row>135</xdr:row>
                    <xdr:rowOff>9525</xdr:rowOff>
                  </from>
                  <to>
                    <xdr:col>22</xdr:col>
                    <xdr:colOff>0</xdr:colOff>
                    <xdr:row>135</xdr:row>
                    <xdr:rowOff>238125</xdr:rowOff>
                  </to>
                </anchor>
              </controlPr>
            </control>
          </mc:Choice>
        </mc:AlternateContent>
        <mc:AlternateContent xmlns:mc="http://schemas.openxmlformats.org/markup-compatibility/2006">
          <mc:Choice Requires="x14">
            <control shapeId="31991" r:id="rId73" name="Drop Down 247">
              <controlPr defaultSize="0" autoLine="0" autoPict="0">
                <anchor moveWithCells="1">
                  <from>
                    <xdr:col>22</xdr:col>
                    <xdr:colOff>38100</xdr:colOff>
                    <xdr:row>135</xdr:row>
                    <xdr:rowOff>9525</xdr:rowOff>
                  </from>
                  <to>
                    <xdr:col>28</xdr:col>
                    <xdr:colOff>0</xdr:colOff>
                    <xdr:row>135</xdr:row>
                    <xdr:rowOff>238125</xdr:rowOff>
                  </to>
                </anchor>
              </controlPr>
            </control>
          </mc:Choice>
        </mc:AlternateContent>
        <mc:AlternateContent xmlns:mc="http://schemas.openxmlformats.org/markup-compatibility/2006">
          <mc:Choice Requires="x14">
            <control shapeId="31999" r:id="rId74" name="Check Box 255">
              <controlPr defaultSize="0" autoFill="0" autoLine="0" autoPict="0">
                <anchor moveWithCells="1">
                  <from>
                    <xdr:col>13</xdr:col>
                    <xdr:colOff>19050</xdr:colOff>
                    <xdr:row>140</xdr:row>
                    <xdr:rowOff>19050</xdr:rowOff>
                  </from>
                  <to>
                    <xdr:col>13</xdr:col>
                    <xdr:colOff>323850</xdr:colOff>
                    <xdr:row>140</xdr:row>
                    <xdr:rowOff>238125</xdr:rowOff>
                  </to>
                </anchor>
              </controlPr>
            </control>
          </mc:Choice>
        </mc:AlternateContent>
        <mc:AlternateContent xmlns:mc="http://schemas.openxmlformats.org/markup-compatibility/2006">
          <mc:Choice Requires="x14">
            <control shapeId="32000" r:id="rId75" name="Check Box 256">
              <controlPr defaultSize="0" autoFill="0" autoLine="0" autoPict="0">
                <anchor moveWithCells="1">
                  <from>
                    <xdr:col>11</xdr:col>
                    <xdr:colOff>19050</xdr:colOff>
                    <xdr:row>140</xdr:row>
                    <xdr:rowOff>19050</xdr:rowOff>
                  </from>
                  <to>
                    <xdr:col>11</xdr:col>
                    <xdr:colOff>323850</xdr:colOff>
                    <xdr:row>140</xdr:row>
                    <xdr:rowOff>238125</xdr:rowOff>
                  </to>
                </anchor>
              </controlPr>
            </control>
          </mc:Choice>
        </mc:AlternateContent>
        <mc:AlternateContent xmlns:mc="http://schemas.openxmlformats.org/markup-compatibility/2006">
          <mc:Choice Requires="x14">
            <control shapeId="32001" r:id="rId76" name="Check Box 257">
              <controlPr defaultSize="0" autoFill="0" autoLine="0" autoPict="0">
                <anchor moveWithCells="1">
                  <from>
                    <xdr:col>13</xdr:col>
                    <xdr:colOff>19050</xdr:colOff>
                    <xdr:row>143</xdr:row>
                    <xdr:rowOff>19050</xdr:rowOff>
                  </from>
                  <to>
                    <xdr:col>13</xdr:col>
                    <xdr:colOff>323850</xdr:colOff>
                    <xdr:row>143</xdr:row>
                    <xdr:rowOff>238125</xdr:rowOff>
                  </to>
                </anchor>
              </controlPr>
            </control>
          </mc:Choice>
        </mc:AlternateContent>
        <mc:AlternateContent xmlns:mc="http://schemas.openxmlformats.org/markup-compatibility/2006">
          <mc:Choice Requires="x14">
            <control shapeId="32002" r:id="rId77" name="Check Box 258">
              <controlPr defaultSize="0" autoFill="0" autoLine="0" autoPict="0">
                <anchor moveWithCells="1">
                  <from>
                    <xdr:col>11</xdr:col>
                    <xdr:colOff>19050</xdr:colOff>
                    <xdr:row>143</xdr:row>
                    <xdr:rowOff>19050</xdr:rowOff>
                  </from>
                  <to>
                    <xdr:col>11</xdr:col>
                    <xdr:colOff>323850</xdr:colOff>
                    <xdr:row>143</xdr:row>
                    <xdr:rowOff>238125</xdr:rowOff>
                  </to>
                </anchor>
              </controlPr>
            </control>
          </mc:Choice>
        </mc:AlternateContent>
        <mc:AlternateContent xmlns:mc="http://schemas.openxmlformats.org/markup-compatibility/2006">
          <mc:Choice Requires="x14">
            <control shapeId="32003" r:id="rId78" name="Check Box 259">
              <controlPr defaultSize="0" autoFill="0" autoLine="0" autoPict="0">
                <anchor moveWithCells="1">
                  <from>
                    <xdr:col>27</xdr:col>
                    <xdr:colOff>19050</xdr:colOff>
                    <xdr:row>142</xdr:row>
                    <xdr:rowOff>19050</xdr:rowOff>
                  </from>
                  <to>
                    <xdr:col>27</xdr:col>
                    <xdr:colOff>323850</xdr:colOff>
                    <xdr:row>142</xdr:row>
                    <xdr:rowOff>238125</xdr:rowOff>
                  </to>
                </anchor>
              </controlPr>
            </control>
          </mc:Choice>
        </mc:AlternateContent>
        <mc:AlternateContent xmlns:mc="http://schemas.openxmlformats.org/markup-compatibility/2006">
          <mc:Choice Requires="x14">
            <control shapeId="32004" r:id="rId79" name="Check Box 260">
              <controlPr defaultSize="0" autoFill="0" autoLine="0" autoPict="0">
                <anchor moveWithCells="1">
                  <from>
                    <xdr:col>25</xdr:col>
                    <xdr:colOff>19050</xdr:colOff>
                    <xdr:row>142</xdr:row>
                    <xdr:rowOff>19050</xdr:rowOff>
                  </from>
                  <to>
                    <xdr:col>25</xdr:col>
                    <xdr:colOff>323850</xdr:colOff>
                    <xdr:row>142</xdr:row>
                    <xdr:rowOff>238125</xdr:rowOff>
                  </to>
                </anchor>
              </controlPr>
            </control>
          </mc:Choice>
        </mc:AlternateContent>
        <mc:AlternateContent xmlns:mc="http://schemas.openxmlformats.org/markup-compatibility/2006">
          <mc:Choice Requires="x14">
            <control shapeId="32005" r:id="rId80" name="Check Box 261">
              <controlPr defaultSize="0" autoFill="0" autoLine="0" autoPict="0">
                <anchor moveWithCells="1">
                  <from>
                    <xdr:col>27</xdr:col>
                    <xdr:colOff>19050</xdr:colOff>
                    <xdr:row>140</xdr:row>
                    <xdr:rowOff>19050</xdr:rowOff>
                  </from>
                  <to>
                    <xdr:col>27</xdr:col>
                    <xdr:colOff>323850</xdr:colOff>
                    <xdr:row>140</xdr:row>
                    <xdr:rowOff>238125</xdr:rowOff>
                  </to>
                </anchor>
              </controlPr>
            </control>
          </mc:Choice>
        </mc:AlternateContent>
        <mc:AlternateContent xmlns:mc="http://schemas.openxmlformats.org/markup-compatibility/2006">
          <mc:Choice Requires="x14">
            <control shapeId="32006" r:id="rId81" name="Check Box 262">
              <controlPr defaultSize="0" autoFill="0" autoLine="0" autoPict="0">
                <anchor moveWithCells="1">
                  <from>
                    <xdr:col>25</xdr:col>
                    <xdr:colOff>19050</xdr:colOff>
                    <xdr:row>140</xdr:row>
                    <xdr:rowOff>19050</xdr:rowOff>
                  </from>
                  <to>
                    <xdr:col>25</xdr:col>
                    <xdr:colOff>323850</xdr:colOff>
                    <xdr:row>140</xdr:row>
                    <xdr:rowOff>238125</xdr:rowOff>
                  </to>
                </anchor>
              </controlPr>
            </control>
          </mc:Choice>
        </mc:AlternateContent>
        <mc:AlternateContent xmlns:mc="http://schemas.openxmlformats.org/markup-compatibility/2006">
          <mc:Choice Requires="x14">
            <control shapeId="32007" r:id="rId82" name="Check Box 263">
              <controlPr defaultSize="0" autoFill="0" autoLine="0" autoPict="0">
                <anchor moveWithCells="1">
                  <from>
                    <xdr:col>13</xdr:col>
                    <xdr:colOff>19050</xdr:colOff>
                    <xdr:row>146</xdr:row>
                    <xdr:rowOff>19050</xdr:rowOff>
                  </from>
                  <to>
                    <xdr:col>13</xdr:col>
                    <xdr:colOff>323850</xdr:colOff>
                    <xdr:row>146</xdr:row>
                    <xdr:rowOff>238125</xdr:rowOff>
                  </to>
                </anchor>
              </controlPr>
            </control>
          </mc:Choice>
        </mc:AlternateContent>
        <mc:AlternateContent xmlns:mc="http://schemas.openxmlformats.org/markup-compatibility/2006">
          <mc:Choice Requires="x14">
            <control shapeId="32008" r:id="rId83" name="Check Box 264">
              <controlPr defaultSize="0" autoFill="0" autoLine="0" autoPict="0">
                <anchor moveWithCells="1">
                  <from>
                    <xdr:col>11</xdr:col>
                    <xdr:colOff>19050</xdr:colOff>
                    <xdr:row>146</xdr:row>
                    <xdr:rowOff>19050</xdr:rowOff>
                  </from>
                  <to>
                    <xdr:col>11</xdr:col>
                    <xdr:colOff>323850</xdr:colOff>
                    <xdr:row>146</xdr:row>
                    <xdr:rowOff>238125</xdr:rowOff>
                  </to>
                </anchor>
              </controlPr>
            </control>
          </mc:Choice>
        </mc:AlternateContent>
        <mc:AlternateContent xmlns:mc="http://schemas.openxmlformats.org/markup-compatibility/2006">
          <mc:Choice Requires="x14">
            <control shapeId="32009" r:id="rId84" name="Check Box 265">
              <controlPr defaultSize="0" autoFill="0" autoLine="0" autoPict="0">
                <anchor moveWithCells="1">
                  <from>
                    <xdr:col>13</xdr:col>
                    <xdr:colOff>19050</xdr:colOff>
                    <xdr:row>149</xdr:row>
                    <xdr:rowOff>19050</xdr:rowOff>
                  </from>
                  <to>
                    <xdr:col>13</xdr:col>
                    <xdr:colOff>323850</xdr:colOff>
                    <xdr:row>149</xdr:row>
                    <xdr:rowOff>238125</xdr:rowOff>
                  </to>
                </anchor>
              </controlPr>
            </control>
          </mc:Choice>
        </mc:AlternateContent>
        <mc:AlternateContent xmlns:mc="http://schemas.openxmlformats.org/markup-compatibility/2006">
          <mc:Choice Requires="x14">
            <control shapeId="32010" r:id="rId85" name="Check Box 266">
              <controlPr defaultSize="0" autoFill="0" autoLine="0" autoPict="0">
                <anchor moveWithCells="1">
                  <from>
                    <xdr:col>11</xdr:col>
                    <xdr:colOff>19050</xdr:colOff>
                    <xdr:row>149</xdr:row>
                    <xdr:rowOff>19050</xdr:rowOff>
                  </from>
                  <to>
                    <xdr:col>11</xdr:col>
                    <xdr:colOff>323850</xdr:colOff>
                    <xdr:row>149</xdr:row>
                    <xdr:rowOff>238125</xdr:rowOff>
                  </to>
                </anchor>
              </controlPr>
            </control>
          </mc:Choice>
        </mc:AlternateContent>
        <mc:AlternateContent xmlns:mc="http://schemas.openxmlformats.org/markup-compatibility/2006">
          <mc:Choice Requires="x14">
            <control shapeId="32011" r:id="rId86" name="Check Box 267">
              <controlPr defaultSize="0" autoFill="0" autoLine="0" autoPict="0">
                <anchor moveWithCells="1">
                  <from>
                    <xdr:col>11</xdr:col>
                    <xdr:colOff>19050</xdr:colOff>
                    <xdr:row>155</xdr:row>
                    <xdr:rowOff>19050</xdr:rowOff>
                  </from>
                  <to>
                    <xdr:col>11</xdr:col>
                    <xdr:colOff>323850</xdr:colOff>
                    <xdr:row>155</xdr:row>
                    <xdr:rowOff>238125</xdr:rowOff>
                  </to>
                </anchor>
              </controlPr>
            </control>
          </mc:Choice>
        </mc:AlternateContent>
        <mc:AlternateContent xmlns:mc="http://schemas.openxmlformats.org/markup-compatibility/2006">
          <mc:Choice Requires="x14">
            <control shapeId="32012" r:id="rId87" name="Check Box 268">
              <controlPr defaultSize="0" autoFill="0" autoLine="0" autoPict="0">
                <anchor moveWithCells="1">
                  <from>
                    <xdr:col>13</xdr:col>
                    <xdr:colOff>19050</xdr:colOff>
                    <xdr:row>157</xdr:row>
                    <xdr:rowOff>19050</xdr:rowOff>
                  </from>
                  <to>
                    <xdr:col>13</xdr:col>
                    <xdr:colOff>323850</xdr:colOff>
                    <xdr:row>157</xdr:row>
                    <xdr:rowOff>238125</xdr:rowOff>
                  </to>
                </anchor>
              </controlPr>
            </control>
          </mc:Choice>
        </mc:AlternateContent>
        <mc:AlternateContent xmlns:mc="http://schemas.openxmlformats.org/markup-compatibility/2006">
          <mc:Choice Requires="x14">
            <control shapeId="32013" r:id="rId88" name="Check Box 269">
              <controlPr defaultSize="0" autoFill="0" autoLine="0" autoPict="0">
                <anchor moveWithCells="1">
                  <from>
                    <xdr:col>11</xdr:col>
                    <xdr:colOff>19050</xdr:colOff>
                    <xdr:row>157</xdr:row>
                    <xdr:rowOff>19050</xdr:rowOff>
                  </from>
                  <to>
                    <xdr:col>11</xdr:col>
                    <xdr:colOff>323850</xdr:colOff>
                    <xdr:row>157</xdr:row>
                    <xdr:rowOff>238125</xdr:rowOff>
                  </to>
                </anchor>
              </controlPr>
            </control>
          </mc:Choice>
        </mc:AlternateContent>
        <mc:AlternateContent xmlns:mc="http://schemas.openxmlformats.org/markup-compatibility/2006">
          <mc:Choice Requires="x14">
            <control shapeId="32014" r:id="rId89" name="Check Box 270">
              <controlPr defaultSize="0" autoFill="0" autoLine="0" autoPict="0">
                <anchor moveWithCells="1">
                  <from>
                    <xdr:col>27</xdr:col>
                    <xdr:colOff>19050</xdr:colOff>
                    <xdr:row>157</xdr:row>
                    <xdr:rowOff>19050</xdr:rowOff>
                  </from>
                  <to>
                    <xdr:col>27</xdr:col>
                    <xdr:colOff>323850</xdr:colOff>
                    <xdr:row>157</xdr:row>
                    <xdr:rowOff>238125</xdr:rowOff>
                  </to>
                </anchor>
              </controlPr>
            </control>
          </mc:Choice>
        </mc:AlternateContent>
        <mc:AlternateContent xmlns:mc="http://schemas.openxmlformats.org/markup-compatibility/2006">
          <mc:Choice Requires="x14">
            <control shapeId="32015" r:id="rId90" name="Check Box 271">
              <controlPr defaultSize="0" autoFill="0" autoLine="0" autoPict="0">
                <anchor moveWithCells="1">
                  <from>
                    <xdr:col>25</xdr:col>
                    <xdr:colOff>19050</xdr:colOff>
                    <xdr:row>157</xdr:row>
                    <xdr:rowOff>19050</xdr:rowOff>
                  </from>
                  <to>
                    <xdr:col>25</xdr:col>
                    <xdr:colOff>323850</xdr:colOff>
                    <xdr:row>157</xdr:row>
                    <xdr:rowOff>238125</xdr:rowOff>
                  </to>
                </anchor>
              </controlPr>
            </control>
          </mc:Choice>
        </mc:AlternateContent>
        <mc:AlternateContent xmlns:mc="http://schemas.openxmlformats.org/markup-compatibility/2006">
          <mc:Choice Requires="x14">
            <control shapeId="32016" r:id="rId91" name="Check Box 272">
              <controlPr defaultSize="0" autoFill="0" autoLine="0" autoPict="0">
                <anchor moveWithCells="1">
                  <from>
                    <xdr:col>27</xdr:col>
                    <xdr:colOff>19050</xdr:colOff>
                    <xdr:row>158</xdr:row>
                    <xdr:rowOff>19050</xdr:rowOff>
                  </from>
                  <to>
                    <xdr:col>27</xdr:col>
                    <xdr:colOff>323850</xdr:colOff>
                    <xdr:row>158</xdr:row>
                    <xdr:rowOff>238125</xdr:rowOff>
                  </to>
                </anchor>
              </controlPr>
            </control>
          </mc:Choice>
        </mc:AlternateContent>
        <mc:AlternateContent xmlns:mc="http://schemas.openxmlformats.org/markup-compatibility/2006">
          <mc:Choice Requires="x14">
            <control shapeId="32017" r:id="rId92" name="Check Box 273">
              <controlPr defaultSize="0" autoFill="0" autoLine="0" autoPict="0">
                <anchor moveWithCells="1">
                  <from>
                    <xdr:col>25</xdr:col>
                    <xdr:colOff>19050</xdr:colOff>
                    <xdr:row>158</xdr:row>
                    <xdr:rowOff>19050</xdr:rowOff>
                  </from>
                  <to>
                    <xdr:col>25</xdr:col>
                    <xdr:colOff>323850</xdr:colOff>
                    <xdr:row>158</xdr:row>
                    <xdr:rowOff>238125</xdr:rowOff>
                  </to>
                </anchor>
              </controlPr>
            </control>
          </mc:Choice>
        </mc:AlternateContent>
        <mc:AlternateContent xmlns:mc="http://schemas.openxmlformats.org/markup-compatibility/2006">
          <mc:Choice Requires="x14">
            <control shapeId="32018" r:id="rId93" name="Check Box 274">
              <controlPr defaultSize="0" autoFill="0" autoLine="0" autoPict="0">
                <anchor moveWithCells="1">
                  <from>
                    <xdr:col>27</xdr:col>
                    <xdr:colOff>19050</xdr:colOff>
                    <xdr:row>150</xdr:row>
                    <xdr:rowOff>19050</xdr:rowOff>
                  </from>
                  <to>
                    <xdr:col>27</xdr:col>
                    <xdr:colOff>323850</xdr:colOff>
                    <xdr:row>150</xdr:row>
                    <xdr:rowOff>238125</xdr:rowOff>
                  </to>
                </anchor>
              </controlPr>
            </control>
          </mc:Choice>
        </mc:AlternateContent>
        <mc:AlternateContent xmlns:mc="http://schemas.openxmlformats.org/markup-compatibility/2006">
          <mc:Choice Requires="x14">
            <control shapeId="32019" r:id="rId94" name="Check Box 275">
              <controlPr defaultSize="0" autoFill="0" autoLine="0" autoPict="0">
                <anchor moveWithCells="1">
                  <from>
                    <xdr:col>25</xdr:col>
                    <xdr:colOff>19050</xdr:colOff>
                    <xdr:row>150</xdr:row>
                    <xdr:rowOff>19050</xdr:rowOff>
                  </from>
                  <to>
                    <xdr:col>25</xdr:col>
                    <xdr:colOff>323850</xdr:colOff>
                    <xdr:row>150</xdr:row>
                    <xdr:rowOff>238125</xdr:rowOff>
                  </to>
                </anchor>
              </controlPr>
            </control>
          </mc:Choice>
        </mc:AlternateContent>
        <mc:AlternateContent xmlns:mc="http://schemas.openxmlformats.org/markup-compatibility/2006">
          <mc:Choice Requires="x14">
            <control shapeId="32020" r:id="rId95" name="Drop Down 276">
              <controlPr defaultSize="0" autoLine="0" autoPict="0">
                <anchor moveWithCells="1">
                  <from>
                    <xdr:col>7</xdr:col>
                    <xdr:colOff>323850</xdr:colOff>
                    <xdr:row>154</xdr:row>
                    <xdr:rowOff>9525</xdr:rowOff>
                  </from>
                  <to>
                    <xdr:col>13</xdr:col>
                    <xdr:colOff>323850</xdr:colOff>
                    <xdr:row>154</xdr:row>
                    <xdr:rowOff>238125</xdr:rowOff>
                  </to>
                </anchor>
              </controlPr>
            </control>
          </mc:Choice>
        </mc:AlternateContent>
        <mc:AlternateContent xmlns:mc="http://schemas.openxmlformats.org/markup-compatibility/2006">
          <mc:Choice Requires="x14">
            <control shapeId="32021" r:id="rId96" name="Check Box 277">
              <controlPr defaultSize="0" autoFill="0" autoLine="0" autoPict="0">
                <anchor moveWithCells="1">
                  <from>
                    <xdr:col>13</xdr:col>
                    <xdr:colOff>19050</xdr:colOff>
                    <xdr:row>155</xdr:row>
                    <xdr:rowOff>19050</xdr:rowOff>
                  </from>
                  <to>
                    <xdr:col>13</xdr:col>
                    <xdr:colOff>323850</xdr:colOff>
                    <xdr:row>155</xdr:row>
                    <xdr:rowOff>238125</xdr:rowOff>
                  </to>
                </anchor>
              </controlPr>
            </control>
          </mc:Choice>
        </mc:AlternateContent>
        <mc:AlternateContent xmlns:mc="http://schemas.openxmlformats.org/markup-compatibility/2006">
          <mc:Choice Requires="x14">
            <control shapeId="32022" r:id="rId97" name="Check Box 278">
              <controlPr defaultSize="0" autoFill="0" autoLine="0" autoPict="0">
                <anchor moveWithCells="1">
                  <from>
                    <xdr:col>27</xdr:col>
                    <xdr:colOff>19050</xdr:colOff>
                    <xdr:row>155</xdr:row>
                    <xdr:rowOff>19050</xdr:rowOff>
                  </from>
                  <to>
                    <xdr:col>27</xdr:col>
                    <xdr:colOff>323850</xdr:colOff>
                    <xdr:row>155</xdr:row>
                    <xdr:rowOff>238125</xdr:rowOff>
                  </to>
                </anchor>
              </controlPr>
            </control>
          </mc:Choice>
        </mc:AlternateContent>
        <mc:AlternateContent xmlns:mc="http://schemas.openxmlformats.org/markup-compatibility/2006">
          <mc:Choice Requires="x14">
            <control shapeId="32023" r:id="rId98" name="Check Box 279">
              <controlPr defaultSize="0" autoFill="0" autoLine="0" autoPict="0">
                <anchor moveWithCells="1">
                  <from>
                    <xdr:col>25</xdr:col>
                    <xdr:colOff>19050</xdr:colOff>
                    <xdr:row>155</xdr:row>
                    <xdr:rowOff>19050</xdr:rowOff>
                  </from>
                  <to>
                    <xdr:col>25</xdr:col>
                    <xdr:colOff>323850</xdr:colOff>
                    <xdr:row>155</xdr:row>
                    <xdr:rowOff>238125</xdr:rowOff>
                  </to>
                </anchor>
              </controlPr>
            </control>
          </mc:Choice>
        </mc:AlternateContent>
        <mc:AlternateContent xmlns:mc="http://schemas.openxmlformats.org/markup-compatibility/2006">
          <mc:Choice Requires="x14">
            <control shapeId="32024" r:id="rId99" name="Check Box 280">
              <controlPr defaultSize="0" autoFill="0" autoLine="0" autoPict="0">
                <anchor moveWithCells="1">
                  <from>
                    <xdr:col>27</xdr:col>
                    <xdr:colOff>19050</xdr:colOff>
                    <xdr:row>154</xdr:row>
                    <xdr:rowOff>19050</xdr:rowOff>
                  </from>
                  <to>
                    <xdr:col>27</xdr:col>
                    <xdr:colOff>323850</xdr:colOff>
                    <xdr:row>154</xdr:row>
                    <xdr:rowOff>238125</xdr:rowOff>
                  </to>
                </anchor>
              </controlPr>
            </control>
          </mc:Choice>
        </mc:AlternateContent>
        <mc:AlternateContent xmlns:mc="http://schemas.openxmlformats.org/markup-compatibility/2006">
          <mc:Choice Requires="x14">
            <control shapeId="32025" r:id="rId100" name="Check Box 281">
              <controlPr defaultSize="0" autoFill="0" autoLine="0" autoPict="0">
                <anchor moveWithCells="1">
                  <from>
                    <xdr:col>25</xdr:col>
                    <xdr:colOff>19050</xdr:colOff>
                    <xdr:row>154</xdr:row>
                    <xdr:rowOff>19050</xdr:rowOff>
                  </from>
                  <to>
                    <xdr:col>25</xdr:col>
                    <xdr:colOff>323850</xdr:colOff>
                    <xdr:row>154</xdr:row>
                    <xdr:rowOff>238125</xdr:rowOff>
                  </to>
                </anchor>
              </controlPr>
            </control>
          </mc:Choice>
        </mc:AlternateContent>
        <mc:AlternateContent xmlns:mc="http://schemas.openxmlformats.org/markup-compatibility/2006">
          <mc:Choice Requires="x14">
            <control shapeId="32027" r:id="rId101" name="Check Box 283">
              <controlPr defaultSize="0" autoFill="0" autoLine="0" autoPict="0">
                <anchor moveWithCells="1">
                  <from>
                    <xdr:col>14</xdr:col>
                    <xdr:colOff>19050</xdr:colOff>
                    <xdr:row>48</xdr:row>
                    <xdr:rowOff>19050</xdr:rowOff>
                  </from>
                  <to>
                    <xdr:col>14</xdr:col>
                    <xdr:colOff>323850</xdr:colOff>
                    <xdr:row>48</xdr:row>
                    <xdr:rowOff>247650</xdr:rowOff>
                  </to>
                </anchor>
              </controlPr>
            </control>
          </mc:Choice>
        </mc:AlternateContent>
        <mc:AlternateContent xmlns:mc="http://schemas.openxmlformats.org/markup-compatibility/2006">
          <mc:Choice Requires="x14">
            <control shapeId="32028" r:id="rId102" name="Check Box 284">
              <controlPr defaultSize="0" autoFill="0" autoLine="0" autoPict="0">
                <anchor moveWithCells="1">
                  <from>
                    <xdr:col>12</xdr:col>
                    <xdr:colOff>19050</xdr:colOff>
                    <xdr:row>48</xdr:row>
                    <xdr:rowOff>19050</xdr:rowOff>
                  </from>
                  <to>
                    <xdr:col>12</xdr:col>
                    <xdr:colOff>323850</xdr:colOff>
                    <xdr:row>48</xdr:row>
                    <xdr:rowOff>247650</xdr:rowOff>
                  </to>
                </anchor>
              </controlPr>
            </control>
          </mc:Choice>
        </mc:AlternateContent>
        <mc:AlternateContent xmlns:mc="http://schemas.openxmlformats.org/markup-compatibility/2006">
          <mc:Choice Requires="x14">
            <control shapeId="32029" r:id="rId103" name="Check Box 285">
              <controlPr defaultSize="0" autoFill="0" autoLine="0" autoPict="0">
                <anchor moveWithCells="1">
                  <from>
                    <xdr:col>20</xdr:col>
                    <xdr:colOff>19050</xdr:colOff>
                    <xdr:row>48</xdr:row>
                    <xdr:rowOff>19050</xdr:rowOff>
                  </from>
                  <to>
                    <xdr:col>20</xdr:col>
                    <xdr:colOff>323850</xdr:colOff>
                    <xdr:row>48</xdr:row>
                    <xdr:rowOff>247650</xdr:rowOff>
                  </to>
                </anchor>
              </controlPr>
            </control>
          </mc:Choice>
        </mc:AlternateContent>
        <mc:AlternateContent xmlns:mc="http://schemas.openxmlformats.org/markup-compatibility/2006">
          <mc:Choice Requires="x14">
            <control shapeId="32030" r:id="rId104" name="Check Box 286">
              <controlPr defaultSize="0" autoFill="0" autoLine="0" autoPict="0">
                <anchor moveWithCells="1">
                  <from>
                    <xdr:col>18</xdr:col>
                    <xdr:colOff>19050</xdr:colOff>
                    <xdr:row>48</xdr:row>
                    <xdr:rowOff>19050</xdr:rowOff>
                  </from>
                  <to>
                    <xdr:col>18</xdr:col>
                    <xdr:colOff>323850</xdr:colOff>
                    <xdr:row>48</xdr:row>
                    <xdr:rowOff>247650</xdr:rowOff>
                  </to>
                </anchor>
              </controlPr>
            </control>
          </mc:Choice>
        </mc:AlternateContent>
        <mc:AlternateContent xmlns:mc="http://schemas.openxmlformats.org/markup-compatibility/2006">
          <mc:Choice Requires="x14">
            <control shapeId="32031" r:id="rId105" name="Check Box 287">
              <controlPr defaultSize="0" autoFill="0" autoLine="0" autoPict="0">
                <anchor moveWithCells="1">
                  <from>
                    <xdr:col>26</xdr:col>
                    <xdr:colOff>19050</xdr:colOff>
                    <xdr:row>48</xdr:row>
                    <xdr:rowOff>19050</xdr:rowOff>
                  </from>
                  <to>
                    <xdr:col>26</xdr:col>
                    <xdr:colOff>323850</xdr:colOff>
                    <xdr:row>48</xdr:row>
                    <xdr:rowOff>247650</xdr:rowOff>
                  </to>
                </anchor>
              </controlPr>
            </control>
          </mc:Choice>
        </mc:AlternateContent>
        <mc:AlternateContent xmlns:mc="http://schemas.openxmlformats.org/markup-compatibility/2006">
          <mc:Choice Requires="x14">
            <control shapeId="32032" r:id="rId106" name="Check Box 288">
              <controlPr defaultSize="0" autoFill="0" autoLine="0" autoPict="0">
                <anchor moveWithCells="1">
                  <from>
                    <xdr:col>24</xdr:col>
                    <xdr:colOff>19050</xdr:colOff>
                    <xdr:row>48</xdr:row>
                    <xdr:rowOff>19050</xdr:rowOff>
                  </from>
                  <to>
                    <xdr:col>24</xdr:col>
                    <xdr:colOff>323850</xdr:colOff>
                    <xdr:row>48</xdr:row>
                    <xdr:rowOff>247650</xdr:rowOff>
                  </to>
                </anchor>
              </controlPr>
            </control>
          </mc:Choice>
        </mc:AlternateContent>
        <mc:AlternateContent xmlns:mc="http://schemas.openxmlformats.org/markup-compatibility/2006">
          <mc:Choice Requires="x14">
            <control shapeId="32033" r:id="rId107" name="Check Box 289">
              <controlPr defaultSize="0" autoFill="0" autoLine="0" autoPict="0">
                <anchor moveWithCells="1">
                  <from>
                    <xdr:col>14</xdr:col>
                    <xdr:colOff>19050</xdr:colOff>
                    <xdr:row>49</xdr:row>
                    <xdr:rowOff>19050</xdr:rowOff>
                  </from>
                  <to>
                    <xdr:col>14</xdr:col>
                    <xdr:colOff>323850</xdr:colOff>
                    <xdr:row>49</xdr:row>
                    <xdr:rowOff>247650</xdr:rowOff>
                  </to>
                </anchor>
              </controlPr>
            </control>
          </mc:Choice>
        </mc:AlternateContent>
        <mc:AlternateContent xmlns:mc="http://schemas.openxmlformats.org/markup-compatibility/2006">
          <mc:Choice Requires="x14">
            <control shapeId="32034" r:id="rId108" name="Check Box 290">
              <controlPr defaultSize="0" autoFill="0" autoLine="0" autoPict="0">
                <anchor moveWithCells="1">
                  <from>
                    <xdr:col>12</xdr:col>
                    <xdr:colOff>19050</xdr:colOff>
                    <xdr:row>49</xdr:row>
                    <xdr:rowOff>19050</xdr:rowOff>
                  </from>
                  <to>
                    <xdr:col>12</xdr:col>
                    <xdr:colOff>323850</xdr:colOff>
                    <xdr:row>49</xdr:row>
                    <xdr:rowOff>247650</xdr:rowOff>
                  </to>
                </anchor>
              </controlPr>
            </control>
          </mc:Choice>
        </mc:AlternateContent>
        <mc:AlternateContent xmlns:mc="http://schemas.openxmlformats.org/markup-compatibility/2006">
          <mc:Choice Requires="x14">
            <control shapeId="32035" r:id="rId109" name="Check Box 291">
              <controlPr defaultSize="0" autoFill="0" autoLine="0" autoPict="0">
                <anchor moveWithCells="1">
                  <from>
                    <xdr:col>20</xdr:col>
                    <xdr:colOff>19050</xdr:colOff>
                    <xdr:row>49</xdr:row>
                    <xdr:rowOff>19050</xdr:rowOff>
                  </from>
                  <to>
                    <xdr:col>20</xdr:col>
                    <xdr:colOff>323850</xdr:colOff>
                    <xdr:row>49</xdr:row>
                    <xdr:rowOff>247650</xdr:rowOff>
                  </to>
                </anchor>
              </controlPr>
            </control>
          </mc:Choice>
        </mc:AlternateContent>
        <mc:AlternateContent xmlns:mc="http://schemas.openxmlformats.org/markup-compatibility/2006">
          <mc:Choice Requires="x14">
            <control shapeId="32036" r:id="rId110" name="Check Box 292">
              <controlPr defaultSize="0" autoFill="0" autoLine="0" autoPict="0">
                <anchor moveWithCells="1">
                  <from>
                    <xdr:col>18</xdr:col>
                    <xdr:colOff>19050</xdr:colOff>
                    <xdr:row>49</xdr:row>
                    <xdr:rowOff>19050</xdr:rowOff>
                  </from>
                  <to>
                    <xdr:col>18</xdr:col>
                    <xdr:colOff>323850</xdr:colOff>
                    <xdr:row>49</xdr:row>
                    <xdr:rowOff>247650</xdr:rowOff>
                  </to>
                </anchor>
              </controlPr>
            </control>
          </mc:Choice>
        </mc:AlternateContent>
        <mc:AlternateContent xmlns:mc="http://schemas.openxmlformats.org/markup-compatibility/2006">
          <mc:Choice Requires="x14">
            <control shapeId="32037" r:id="rId111" name="Check Box 293">
              <controlPr defaultSize="0" autoFill="0" autoLine="0" autoPict="0">
                <anchor moveWithCells="1">
                  <from>
                    <xdr:col>26</xdr:col>
                    <xdr:colOff>19050</xdr:colOff>
                    <xdr:row>49</xdr:row>
                    <xdr:rowOff>19050</xdr:rowOff>
                  </from>
                  <to>
                    <xdr:col>26</xdr:col>
                    <xdr:colOff>323850</xdr:colOff>
                    <xdr:row>49</xdr:row>
                    <xdr:rowOff>247650</xdr:rowOff>
                  </to>
                </anchor>
              </controlPr>
            </control>
          </mc:Choice>
        </mc:AlternateContent>
        <mc:AlternateContent xmlns:mc="http://schemas.openxmlformats.org/markup-compatibility/2006">
          <mc:Choice Requires="x14">
            <control shapeId="32038" r:id="rId112" name="Check Box 294">
              <controlPr defaultSize="0" autoFill="0" autoLine="0" autoPict="0">
                <anchor moveWithCells="1">
                  <from>
                    <xdr:col>24</xdr:col>
                    <xdr:colOff>19050</xdr:colOff>
                    <xdr:row>49</xdr:row>
                    <xdr:rowOff>19050</xdr:rowOff>
                  </from>
                  <to>
                    <xdr:col>24</xdr:col>
                    <xdr:colOff>323850</xdr:colOff>
                    <xdr:row>49</xdr:row>
                    <xdr:rowOff>247650</xdr:rowOff>
                  </to>
                </anchor>
              </controlPr>
            </control>
          </mc:Choice>
        </mc:AlternateContent>
        <mc:AlternateContent xmlns:mc="http://schemas.openxmlformats.org/markup-compatibility/2006">
          <mc:Choice Requires="x14">
            <control shapeId="32039" r:id="rId113" name="Check Box 295">
              <controlPr defaultSize="0" autoFill="0" autoLine="0" autoPict="0">
                <anchor moveWithCells="1">
                  <from>
                    <xdr:col>14</xdr:col>
                    <xdr:colOff>19050</xdr:colOff>
                    <xdr:row>50</xdr:row>
                    <xdr:rowOff>19050</xdr:rowOff>
                  </from>
                  <to>
                    <xdr:col>14</xdr:col>
                    <xdr:colOff>323850</xdr:colOff>
                    <xdr:row>50</xdr:row>
                    <xdr:rowOff>247650</xdr:rowOff>
                  </to>
                </anchor>
              </controlPr>
            </control>
          </mc:Choice>
        </mc:AlternateContent>
        <mc:AlternateContent xmlns:mc="http://schemas.openxmlformats.org/markup-compatibility/2006">
          <mc:Choice Requires="x14">
            <control shapeId="32040" r:id="rId114" name="Check Box 296">
              <controlPr defaultSize="0" autoFill="0" autoLine="0" autoPict="0">
                <anchor moveWithCells="1">
                  <from>
                    <xdr:col>12</xdr:col>
                    <xdr:colOff>19050</xdr:colOff>
                    <xdr:row>50</xdr:row>
                    <xdr:rowOff>19050</xdr:rowOff>
                  </from>
                  <to>
                    <xdr:col>12</xdr:col>
                    <xdr:colOff>323850</xdr:colOff>
                    <xdr:row>50</xdr:row>
                    <xdr:rowOff>247650</xdr:rowOff>
                  </to>
                </anchor>
              </controlPr>
            </control>
          </mc:Choice>
        </mc:AlternateContent>
        <mc:AlternateContent xmlns:mc="http://schemas.openxmlformats.org/markup-compatibility/2006">
          <mc:Choice Requires="x14">
            <control shapeId="32041" r:id="rId115" name="Check Box 297">
              <controlPr defaultSize="0" autoFill="0" autoLine="0" autoPict="0">
                <anchor moveWithCells="1">
                  <from>
                    <xdr:col>20</xdr:col>
                    <xdr:colOff>19050</xdr:colOff>
                    <xdr:row>50</xdr:row>
                    <xdr:rowOff>19050</xdr:rowOff>
                  </from>
                  <to>
                    <xdr:col>20</xdr:col>
                    <xdr:colOff>323850</xdr:colOff>
                    <xdr:row>50</xdr:row>
                    <xdr:rowOff>247650</xdr:rowOff>
                  </to>
                </anchor>
              </controlPr>
            </control>
          </mc:Choice>
        </mc:AlternateContent>
        <mc:AlternateContent xmlns:mc="http://schemas.openxmlformats.org/markup-compatibility/2006">
          <mc:Choice Requires="x14">
            <control shapeId="32042" r:id="rId116" name="Check Box 298">
              <controlPr defaultSize="0" autoFill="0" autoLine="0" autoPict="0">
                <anchor moveWithCells="1">
                  <from>
                    <xdr:col>18</xdr:col>
                    <xdr:colOff>19050</xdr:colOff>
                    <xdr:row>50</xdr:row>
                    <xdr:rowOff>19050</xdr:rowOff>
                  </from>
                  <to>
                    <xdr:col>18</xdr:col>
                    <xdr:colOff>323850</xdr:colOff>
                    <xdr:row>50</xdr:row>
                    <xdr:rowOff>247650</xdr:rowOff>
                  </to>
                </anchor>
              </controlPr>
            </control>
          </mc:Choice>
        </mc:AlternateContent>
        <mc:AlternateContent xmlns:mc="http://schemas.openxmlformats.org/markup-compatibility/2006">
          <mc:Choice Requires="x14">
            <control shapeId="32043" r:id="rId117" name="Check Box 299">
              <controlPr defaultSize="0" autoFill="0" autoLine="0" autoPict="0">
                <anchor moveWithCells="1">
                  <from>
                    <xdr:col>26</xdr:col>
                    <xdr:colOff>19050</xdr:colOff>
                    <xdr:row>50</xdr:row>
                    <xdr:rowOff>19050</xdr:rowOff>
                  </from>
                  <to>
                    <xdr:col>26</xdr:col>
                    <xdr:colOff>323850</xdr:colOff>
                    <xdr:row>50</xdr:row>
                    <xdr:rowOff>247650</xdr:rowOff>
                  </to>
                </anchor>
              </controlPr>
            </control>
          </mc:Choice>
        </mc:AlternateContent>
        <mc:AlternateContent xmlns:mc="http://schemas.openxmlformats.org/markup-compatibility/2006">
          <mc:Choice Requires="x14">
            <control shapeId="32044" r:id="rId118" name="Check Box 300">
              <controlPr defaultSize="0" autoFill="0" autoLine="0" autoPict="0">
                <anchor moveWithCells="1">
                  <from>
                    <xdr:col>24</xdr:col>
                    <xdr:colOff>19050</xdr:colOff>
                    <xdr:row>50</xdr:row>
                    <xdr:rowOff>19050</xdr:rowOff>
                  </from>
                  <to>
                    <xdr:col>24</xdr:col>
                    <xdr:colOff>323850</xdr:colOff>
                    <xdr:row>50</xdr:row>
                    <xdr:rowOff>247650</xdr:rowOff>
                  </to>
                </anchor>
              </controlPr>
            </control>
          </mc:Choice>
        </mc:AlternateContent>
        <mc:AlternateContent xmlns:mc="http://schemas.openxmlformats.org/markup-compatibility/2006">
          <mc:Choice Requires="x14">
            <control shapeId="32045" r:id="rId119" name="Check Box 301">
              <controlPr defaultSize="0" autoFill="0" autoLine="0" autoPict="0">
                <anchor moveWithCells="1">
                  <from>
                    <xdr:col>14</xdr:col>
                    <xdr:colOff>19050</xdr:colOff>
                    <xdr:row>40</xdr:row>
                    <xdr:rowOff>19050</xdr:rowOff>
                  </from>
                  <to>
                    <xdr:col>14</xdr:col>
                    <xdr:colOff>323850</xdr:colOff>
                    <xdr:row>40</xdr:row>
                    <xdr:rowOff>247650</xdr:rowOff>
                  </to>
                </anchor>
              </controlPr>
            </control>
          </mc:Choice>
        </mc:AlternateContent>
        <mc:AlternateContent xmlns:mc="http://schemas.openxmlformats.org/markup-compatibility/2006">
          <mc:Choice Requires="x14">
            <control shapeId="32046" r:id="rId120" name="Check Box 302">
              <controlPr defaultSize="0" autoFill="0" autoLine="0" autoPict="0">
                <anchor moveWithCells="1">
                  <from>
                    <xdr:col>12</xdr:col>
                    <xdr:colOff>19050</xdr:colOff>
                    <xdr:row>40</xdr:row>
                    <xdr:rowOff>19050</xdr:rowOff>
                  </from>
                  <to>
                    <xdr:col>12</xdr:col>
                    <xdr:colOff>323850</xdr:colOff>
                    <xdr:row>40</xdr:row>
                    <xdr:rowOff>247650</xdr:rowOff>
                  </to>
                </anchor>
              </controlPr>
            </control>
          </mc:Choice>
        </mc:AlternateContent>
        <mc:AlternateContent xmlns:mc="http://schemas.openxmlformats.org/markup-compatibility/2006">
          <mc:Choice Requires="x14">
            <control shapeId="32047" r:id="rId121" name="Check Box 303">
              <controlPr defaultSize="0" autoFill="0" autoLine="0" autoPict="0">
                <anchor moveWithCells="1">
                  <from>
                    <xdr:col>20</xdr:col>
                    <xdr:colOff>19050</xdr:colOff>
                    <xdr:row>40</xdr:row>
                    <xdr:rowOff>19050</xdr:rowOff>
                  </from>
                  <to>
                    <xdr:col>20</xdr:col>
                    <xdr:colOff>323850</xdr:colOff>
                    <xdr:row>40</xdr:row>
                    <xdr:rowOff>247650</xdr:rowOff>
                  </to>
                </anchor>
              </controlPr>
            </control>
          </mc:Choice>
        </mc:AlternateContent>
        <mc:AlternateContent xmlns:mc="http://schemas.openxmlformats.org/markup-compatibility/2006">
          <mc:Choice Requires="x14">
            <control shapeId="32048" r:id="rId122" name="Check Box 304">
              <controlPr defaultSize="0" autoFill="0" autoLine="0" autoPict="0">
                <anchor moveWithCells="1">
                  <from>
                    <xdr:col>18</xdr:col>
                    <xdr:colOff>19050</xdr:colOff>
                    <xdr:row>40</xdr:row>
                    <xdr:rowOff>19050</xdr:rowOff>
                  </from>
                  <to>
                    <xdr:col>18</xdr:col>
                    <xdr:colOff>323850</xdr:colOff>
                    <xdr:row>40</xdr:row>
                    <xdr:rowOff>247650</xdr:rowOff>
                  </to>
                </anchor>
              </controlPr>
            </control>
          </mc:Choice>
        </mc:AlternateContent>
        <mc:AlternateContent xmlns:mc="http://schemas.openxmlformats.org/markup-compatibility/2006">
          <mc:Choice Requires="x14">
            <control shapeId="32049" r:id="rId123" name="Check Box 305">
              <controlPr defaultSize="0" autoFill="0" autoLine="0" autoPict="0">
                <anchor moveWithCells="1">
                  <from>
                    <xdr:col>26</xdr:col>
                    <xdr:colOff>19050</xdr:colOff>
                    <xdr:row>40</xdr:row>
                    <xdr:rowOff>19050</xdr:rowOff>
                  </from>
                  <to>
                    <xdr:col>26</xdr:col>
                    <xdr:colOff>323850</xdr:colOff>
                    <xdr:row>40</xdr:row>
                    <xdr:rowOff>247650</xdr:rowOff>
                  </to>
                </anchor>
              </controlPr>
            </control>
          </mc:Choice>
        </mc:AlternateContent>
        <mc:AlternateContent xmlns:mc="http://schemas.openxmlformats.org/markup-compatibility/2006">
          <mc:Choice Requires="x14">
            <control shapeId="32050" r:id="rId124" name="Check Box 306">
              <controlPr defaultSize="0" autoFill="0" autoLine="0" autoPict="0">
                <anchor moveWithCells="1">
                  <from>
                    <xdr:col>24</xdr:col>
                    <xdr:colOff>19050</xdr:colOff>
                    <xdr:row>40</xdr:row>
                    <xdr:rowOff>19050</xdr:rowOff>
                  </from>
                  <to>
                    <xdr:col>24</xdr:col>
                    <xdr:colOff>323850</xdr:colOff>
                    <xdr:row>40</xdr:row>
                    <xdr:rowOff>247650</xdr:rowOff>
                  </to>
                </anchor>
              </controlPr>
            </control>
          </mc:Choice>
        </mc:AlternateContent>
        <mc:AlternateContent xmlns:mc="http://schemas.openxmlformats.org/markup-compatibility/2006">
          <mc:Choice Requires="x14">
            <control shapeId="32051" r:id="rId125" name="Drop Down 307">
              <controlPr defaultSize="0" autoLine="0" autoPict="0">
                <anchor moveWithCells="1">
                  <from>
                    <xdr:col>10</xdr:col>
                    <xdr:colOff>257175</xdr:colOff>
                    <xdr:row>99</xdr:row>
                    <xdr:rowOff>9525</xdr:rowOff>
                  </from>
                  <to>
                    <xdr:col>15</xdr:col>
                    <xdr:colOff>314325</xdr:colOff>
                    <xdr:row>99</xdr:row>
                    <xdr:rowOff>247650</xdr:rowOff>
                  </to>
                </anchor>
              </controlPr>
            </control>
          </mc:Choice>
        </mc:AlternateContent>
        <mc:AlternateContent xmlns:mc="http://schemas.openxmlformats.org/markup-compatibility/2006">
          <mc:Choice Requires="x14">
            <control shapeId="32052" r:id="rId126" name="Drop Down 308">
              <controlPr defaultSize="0" autoLine="0" autoPict="0">
                <anchor moveWithCells="1">
                  <from>
                    <xdr:col>16</xdr:col>
                    <xdr:colOff>276225</xdr:colOff>
                    <xdr:row>99</xdr:row>
                    <xdr:rowOff>19050</xdr:rowOff>
                  </from>
                  <to>
                    <xdr:col>22</xdr:col>
                    <xdr:colOff>0</xdr:colOff>
                    <xdr:row>99</xdr:row>
                    <xdr:rowOff>247650</xdr:rowOff>
                  </to>
                </anchor>
              </controlPr>
            </control>
          </mc:Choice>
        </mc:AlternateContent>
        <mc:AlternateContent xmlns:mc="http://schemas.openxmlformats.org/markup-compatibility/2006">
          <mc:Choice Requires="x14">
            <control shapeId="32053" r:id="rId127" name="Drop Down 309">
              <controlPr defaultSize="0" autoLine="0" autoPict="0">
                <anchor moveWithCells="1">
                  <from>
                    <xdr:col>22</xdr:col>
                    <xdr:colOff>266700</xdr:colOff>
                    <xdr:row>99</xdr:row>
                    <xdr:rowOff>9525</xdr:rowOff>
                  </from>
                  <to>
                    <xdr:col>27</xdr:col>
                    <xdr:colOff>323850</xdr:colOff>
                    <xdr:row>99</xdr:row>
                    <xdr:rowOff>238125</xdr:rowOff>
                  </to>
                </anchor>
              </controlPr>
            </control>
          </mc:Choice>
        </mc:AlternateContent>
        <mc:AlternateContent xmlns:mc="http://schemas.openxmlformats.org/markup-compatibility/2006">
          <mc:Choice Requires="x14">
            <control shapeId="32061" r:id="rId128" name="Drop Down 317">
              <controlPr defaultSize="0" autoLine="0" autoPict="0">
                <anchor moveWithCells="1">
                  <from>
                    <xdr:col>1</xdr:col>
                    <xdr:colOff>47625</xdr:colOff>
                    <xdr:row>108</xdr:row>
                    <xdr:rowOff>9525</xdr:rowOff>
                  </from>
                  <to>
                    <xdr:col>8</xdr:col>
                    <xdr:colOff>209550</xdr:colOff>
                    <xdr:row>108</xdr:row>
                    <xdr:rowOff>247650</xdr:rowOff>
                  </to>
                </anchor>
              </controlPr>
            </control>
          </mc:Choice>
        </mc:AlternateContent>
        <mc:AlternateContent xmlns:mc="http://schemas.openxmlformats.org/markup-compatibility/2006">
          <mc:Choice Requires="x14">
            <control shapeId="32063" r:id="rId129" name="Drop Down 319">
              <controlPr defaultSize="0" autoLine="0" autoPict="0">
                <anchor moveWithCells="1">
                  <from>
                    <xdr:col>1</xdr:col>
                    <xdr:colOff>38100</xdr:colOff>
                    <xdr:row>109</xdr:row>
                    <xdr:rowOff>19050</xdr:rowOff>
                  </from>
                  <to>
                    <xdr:col>8</xdr:col>
                    <xdr:colOff>209550</xdr:colOff>
                    <xdr:row>110</xdr:row>
                    <xdr:rowOff>0</xdr:rowOff>
                  </to>
                </anchor>
              </controlPr>
            </control>
          </mc:Choice>
        </mc:AlternateContent>
        <mc:AlternateContent xmlns:mc="http://schemas.openxmlformats.org/markup-compatibility/2006">
          <mc:Choice Requires="x14">
            <control shapeId="32064" r:id="rId130" name="Drop Down 320">
              <controlPr defaultSize="0" autoLine="0" autoPict="0">
                <anchor moveWithCells="1">
                  <from>
                    <xdr:col>1</xdr:col>
                    <xdr:colOff>38100</xdr:colOff>
                    <xdr:row>110</xdr:row>
                    <xdr:rowOff>19050</xdr:rowOff>
                  </from>
                  <to>
                    <xdr:col>8</xdr:col>
                    <xdr:colOff>209550</xdr:colOff>
                    <xdr:row>111</xdr:row>
                    <xdr:rowOff>0</xdr:rowOff>
                  </to>
                </anchor>
              </controlPr>
            </control>
          </mc:Choice>
        </mc:AlternateContent>
        <mc:AlternateContent xmlns:mc="http://schemas.openxmlformats.org/markup-compatibility/2006">
          <mc:Choice Requires="x14">
            <control shapeId="32067" r:id="rId131" name="Drop Down 323">
              <controlPr locked="0" defaultSize="0" autoLine="0" autoPict="0">
                <anchor moveWithCells="1">
                  <from>
                    <xdr:col>1</xdr:col>
                    <xdr:colOff>66675</xdr:colOff>
                    <xdr:row>10</xdr:row>
                    <xdr:rowOff>19050</xdr:rowOff>
                  </from>
                  <to>
                    <xdr:col>7</xdr:col>
                    <xdr:colOff>19050</xdr:colOff>
                    <xdr:row>10</xdr:row>
                    <xdr:rowOff>238125</xdr:rowOff>
                  </to>
                </anchor>
              </controlPr>
            </control>
          </mc:Choice>
        </mc:AlternateContent>
        <mc:AlternateContent xmlns:mc="http://schemas.openxmlformats.org/markup-compatibility/2006">
          <mc:Choice Requires="x14">
            <control shapeId="32068" r:id="rId132" name="Drop Down 324">
              <controlPr defaultSize="0" autoLine="0" autoPict="0">
                <anchor moveWithCells="1">
                  <from>
                    <xdr:col>24</xdr:col>
                    <xdr:colOff>9525</xdr:colOff>
                    <xdr:row>77</xdr:row>
                    <xdr:rowOff>9525</xdr:rowOff>
                  </from>
                  <to>
                    <xdr:col>27</xdr:col>
                    <xdr:colOff>323850</xdr:colOff>
                    <xdr:row>77</xdr:row>
                    <xdr:rowOff>238125</xdr:rowOff>
                  </to>
                </anchor>
              </controlPr>
            </control>
          </mc:Choice>
        </mc:AlternateContent>
        <mc:AlternateContent xmlns:mc="http://schemas.openxmlformats.org/markup-compatibility/2006">
          <mc:Choice Requires="x14">
            <control shapeId="32070" r:id="rId133" name="Drop Down 326">
              <controlPr defaultSize="0" autoLine="0" autoPict="0">
                <anchor moveWithCells="1">
                  <from>
                    <xdr:col>11</xdr:col>
                    <xdr:colOff>28575</xdr:colOff>
                    <xdr:row>77</xdr:row>
                    <xdr:rowOff>9525</xdr:rowOff>
                  </from>
                  <to>
                    <xdr:col>15</xdr:col>
                    <xdr:colOff>9525</xdr:colOff>
                    <xdr:row>77</xdr:row>
                    <xdr:rowOff>238125</xdr:rowOff>
                  </to>
                </anchor>
              </controlPr>
            </control>
          </mc:Choice>
        </mc:AlternateContent>
        <mc:AlternateContent xmlns:mc="http://schemas.openxmlformats.org/markup-compatibility/2006">
          <mc:Choice Requires="x14">
            <control shapeId="32071" r:id="rId134" name="Check Box 327">
              <controlPr defaultSize="0" autoFill="0" autoLine="0" autoPict="0">
                <anchor moveWithCells="1">
                  <from>
                    <xdr:col>13</xdr:col>
                    <xdr:colOff>19050</xdr:colOff>
                    <xdr:row>137</xdr:row>
                    <xdr:rowOff>19050</xdr:rowOff>
                  </from>
                  <to>
                    <xdr:col>13</xdr:col>
                    <xdr:colOff>342900</xdr:colOff>
                    <xdr:row>137</xdr:row>
                    <xdr:rowOff>228600</xdr:rowOff>
                  </to>
                </anchor>
              </controlPr>
            </control>
          </mc:Choice>
        </mc:AlternateContent>
        <mc:AlternateContent xmlns:mc="http://schemas.openxmlformats.org/markup-compatibility/2006">
          <mc:Choice Requires="x14">
            <control shapeId="32072" r:id="rId135" name="Check Box 328">
              <controlPr defaultSize="0" autoFill="0" autoLine="0" autoPict="0">
                <anchor moveWithCells="1">
                  <from>
                    <xdr:col>11</xdr:col>
                    <xdr:colOff>19050</xdr:colOff>
                    <xdr:row>137</xdr:row>
                    <xdr:rowOff>19050</xdr:rowOff>
                  </from>
                  <to>
                    <xdr:col>11</xdr:col>
                    <xdr:colOff>342900</xdr:colOff>
                    <xdr:row>137</xdr:row>
                    <xdr:rowOff>228600</xdr:rowOff>
                  </to>
                </anchor>
              </controlPr>
            </control>
          </mc:Choice>
        </mc:AlternateContent>
        <mc:AlternateContent xmlns:mc="http://schemas.openxmlformats.org/markup-compatibility/2006">
          <mc:Choice Requires="x14">
            <control shapeId="32073" r:id="rId136" name="Check Box 329">
              <controlPr defaultSize="0" autoFill="0" autoLine="0" autoPict="0">
                <anchor moveWithCells="1">
                  <from>
                    <xdr:col>13</xdr:col>
                    <xdr:colOff>19050</xdr:colOff>
                    <xdr:row>139</xdr:row>
                    <xdr:rowOff>19050</xdr:rowOff>
                  </from>
                  <to>
                    <xdr:col>13</xdr:col>
                    <xdr:colOff>342900</xdr:colOff>
                    <xdr:row>139</xdr:row>
                    <xdr:rowOff>228600</xdr:rowOff>
                  </to>
                </anchor>
              </controlPr>
            </control>
          </mc:Choice>
        </mc:AlternateContent>
        <mc:AlternateContent xmlns:mc="http://schemas.openxmlformats.org/markup-compatibility/2006">
          <mc:Choice Requires="x14">
            <control shapeId="32074" r:id="rId137" name="Check Box 330">
              <controlPr defaultSize="0" autoFill="0" autoLine="0" autoPict="0">
                <anchor moveWithCells="1">
                  <from>
                    <xdr:col>11</xdr:col>
                    <xdr:colOff>19050</xdr:colOff>
                    <xdr:row>139</xdr:row>
                    <xdr:rowOff>19050</xdr:rowOff>
                  </from>
                  <to>
                    <xdr:col>11</xdr:col>
                    <xdr:colOff>342900</xdr:colOff>
                    <xdr:row>139</xdr:row>
                    <xdr:rowOff>228600</xdr:rowOff>
                  </to>
                </anchor>
              </controlPr>
            </control>
          </mc:Choice>
        </mc:AlternateContent>
        <mc:AlternateContent xmlns:mc="http://schemas.openxmlformats.org/markup-compatibility/2006">
          <mc:Choice Requires="x14">
            <control shapeId="32077" r:id="rId138" name="Check Box 333">
              <controlPr defaultSize="0" autoFill="0" autoLine="0" autoPict="0">
                <anchor moveWithCells="1">
                  <from>
                    <xdr:col>13</xdr:col>
                    <xdr:colOff>19050</xdr:colOff>
                    <xdr:row>145</xdr:row>
                    <xdr:rowOff>19050</xdr:rowOff>
                  </from>
                  <to>
                    <xdr:col>13</xdr:col>
                    <xdr:colOff>342900</xdr:colOff>
                    <xdr:row>145</xdr:row>
                    <xdr:rowOff>228600</xdr:rowOff>
                  </to>
                </anchor>
              </controlPr>
            </control>
          </mc:Choice>
        </mc:AlternateContent>
        <mc:AlternateContent xmlns:mc="http://schemas.openxmlformats.org/markup-compatibility/2006">
          <mc:Choice Requires="x14">
            <control shapeId="32078" r:id="rId139" name="Check Box 334">
              <controlPr defaultSize="0" autoFill="0" autoLine="0" autoPict="0">
                <anchor moveWithCells="1">
                  <from>
                    <xdr:col>11</xdr:col>
                    <xdr:colOff>19050</xdr:colOff>
                    <xdr:row>145</xdr:row>
                    <xdr:rowOff>19050</xdr:rowOff>
                  </from>
                  <to>
                    <xdr:col>11</xdr:col>
                    <xdr:colOff>342900</xdr:colOff>
                    <xdr:row>145</xdr:row>
                    <xdr:rowOff>228600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335" operator="containsText" id="{DA3C5A42-A4B4-43E2-AE34-5A256BE17DE9}">
            <xm:f>NOT(ISERROR(SEARCH("!",H163)))</xm:f>
            <xm:f>"!"</xm:f>
            <x14:dxf>
              <font>
                <color theme="0"/>
              </font>
              <fill>
                <patternFill>
                  <bgColor rgb="FFC00000"/>
                </patternFill>
              </fill>
            </x14:dxf>
          </x14:cfRule>
          <xm:sqref>H163</xm:sqref>
        </x14:conditionalFormatting>
        <x14:conditionalFormatting xmlns:xm="http://schemas.microsoft.com/office/excel/2006/main">
          <x14:cfRule type="containsText" priority="164" operator="containsText" id="{0E70F085-B1F9-4B03-8D15-84B0DD283DCC}">
            <xm:f>NOT(ISERROR(SEARCH("!",O141)))</xm:f>
            <xm:f>"!"</xm:f>
            <x14:dxf>
              <font>
                <color theme="0"/>
              </font>
              <fill>
                <patternFill>
                  <bgColor rgb="FFC00000"/>
                </patternFill>
              </fill>
            </x14:dxf>
          </x14:cfRule>
          <xm:sqref>O141:O144</xm:sqref>
        </x14:conditionalFormatting>
        <x14:conditionalFormatting xmlns:xm="http://schemas.microsoft.com/office/excel/2006/main">
          <x14:cfRule type="containsText" priority="160" operator="containsText" id="{ACADC4C4-3D90-4183-B12F-1682D38A71A1}">
            <xm:f>NOT(ISERROR(SEARCH("!",O147)))</xm:f>
            <xm:f>"!"</xm:f>
            <x14:dxf>
              <font>
                <color theme="0"/>
              </font>
              <fill>
                <patternFill>
                  <bgColor rgb="FFC00000"/>
                </patternFill>
              </fill>
            </x14:dxf>
          </x14:cfRule>
          <xm:sqref>O147:O152</xm:sqref>
        </x14:conditionalFormatting>
        <x14:conditionalFormatting xmlns:xm="http://schemas.microsoft.com/office/excel/2006/main">
          <x14:cfRule type="containsText" priority="156" operator="containsText" id="{879815C4-8369-4E65-8027-D01BDE468B9B}">
            <xm:f>NOT(ISERROR(SEARCH("!",O155)))</xm:f>
            <xm:f>"!"</xm:f>
            <x14:dxf>
              <font>
                <color theme="0"/>
              </font>
              <fill>
                <patternFill>
                  <bgColor rgb="FFC00000"/>
                </patternFill>
              </fill>
            </x14:dxf>
          </x14:cfRule>
          <xm:sqref>O155:O160</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025D6-44A3-4839-A247-EF273C1B3A98}">
  <sheetPr codeName="Tabelle1">
    <outlinePr summaryBelow="0" summaryRight="0"/>
    <pageSetUpPr fitToPage="1"/>
  </sheetPr>
  <dimension ref="A1:AY123"/>
  <sheetViews>
    <sheetView showGridLines="0" topLeftCell="A21" zoomScaleNormal="100" workbookViewId="0">
      <selection activeCell="AF9" sqref="AF9"/>
    </sheetView>
  </sheetViews>
  <sheetFormatPr baseColWidth="10" defaultColWidth="11" defaultRowHeight="12.75" outlineLevelCol="1" x14ac:dyDescent="0.2"/>
  <cols>
    <col min="1" max="1" width="1.5" style="301" customWidth="1"/>
    <col min="2" max="12" width="4.875" style="246" customWidth="1"/>
    <col min="13" max="13" width="4.875" style="248" customWidth="1"/>
    <col min="14" max="14" width="4.875" style="246" customWidth="1"/>
    <col min="15" max="15" width="3.875" style="249" customWidth="1"/>
    <col min="16" max="19" width="5.875" style="246" customWidth="1"/>
    <col min="20" max="20" width="4.875" style="246" customWidth="1"/>
    <col min="21" max="21" width="1.875" style="246" customWidth="1"/>
    <col min="22" max="22" width="4.875" style="246" customWidth="1"/>
    <col min="23" max="24" width="4.625" style="246" customWidth="1"/>
    <col min="25" max="25" width="1.25" style="246" customWidth="1"/>
    <col min="26" max="26" width="2.125" style="246" customWidth="1"/>
    <col min="27" max="27" width="1.25" style="246" customWidth="1"/>
    <col min="28" max="29" width="4.625" style="246" customWidth="1"/>
    <col min="30" max="30" width="1.25" style="246" customWidth="1"/>
    <col min="31" max="31" width="2.125" style="246" customWidth="1"/>
    <col min="32" max="32" width="2.25" style="246" customWidth="1"/>
    <col min="33" max="33" width="2.25" style="246" customWidth="1" collapsed="1"/>
    <col min="34" max="34" width="54.5" style="305" hidden="1" customWidth="1" outlineLevel="1"/>
    <col min="35" max="35" width="13" style="299" customWidth="1"/>
    <col min="36" max="36" width="3.125" style="246" customWidth="1" outlineLevel="1"/>
    <col min="37" max="37" width="11" style="300" customWidth="1" outlineLevel="1"/>
    <col min="38" max="45" width="11" style="246" customWidth="1" outlineLevel="1"/>
    <col min="46" max="46" width="18.875" style="246" customWidth="1" outlineLevel="1"/>
    <col min="47" max="47" width="2.5" style="246" customWidth="1" outlineLevel="1"/>
    <col min="48" max="48" width="4.25" style="246" customWidth="1" outlineLevel="1"/>
    <col min="49" max="50" width="11" style="246" customWidth="1" outlineLevel="1"/>
    <col min="51" max="51" width="2.5" style="246" customWidth="1" outlineLevel="1"/>
    <col min="52" max="16384" width="11" style="246"/>
  </cols>
  <sheetData>
    <row r="1" spans="1:51" ht="40.5" customHeight="1" x14ac:dyDescent="0.2">
      <c r="A1" s="296"/>
      <c r="B1" s="297"/>
      <c r="C1" s="297"/>
      <c r="D1" s="297"/>
      <c r="E1" s="297"/>
      <c r="F1" s="297"/>
      <c r="G1" s="297"/>
      <c r="H1" s="889" t="str">
        <f>HLOOKUP('4 Language'!$B$2,'4 Language'!$C$12:$H$170,2)</f>
        <v>Sprachauswahl 
(Select Language)</v>
      </c>
      <c r="I1" s="889"/>
      <c r="J1" s="889"/>
      <c r="K1" s="890" t="str">
        <f>HLOOKUP('4 Language'!$B$8,'4 Language'!$C$12:$H$307,232)</f>
        <v>Hier wird nur die rechten Blatthälfte: "Auswertungsbereich"umgestellt. Die Übernahme aus dem Parameterdatenblatt erfolgt in der hier voreingestellten Sprache.</v>
      </c>
      <c r="L1" s="890"/>
      <c r="M1" s="890"/>
      <c r="N1" s="890"/>
      <c r="O1" s="890"/>
      <c r="P1" s="890"/>
      <c r="Q1" s="890"/>
      <c r="R1" s="890"/>
      <c r="S1" s="890"/>
      <c r="T1" s="890"/>
      <c r="U1" s="890"/>
      <c r="V1" s="890"/>
      <c r="W1" s="890"/>
      <c r="X1" s="890"/>
      <c r="Y1" s="890"/>
      <c r="Z1" s="890"/>
      <c r="AA1" s="890"/>
      <c r="AB1" s="890"/>
      <c r="AC1" s="890"/>
      <c r="AD1" s="890"/>
      <c r="AE1" s="890"/>
      <c r="AF1" s="297"/>
      <c r="AG1" s="297"/>
      <c r="AH1" s="298" t="s">
        <v>1756</v>
      </c>
    </row>
    <row r="2" spans="1:51" ht="30" customHeight="1" x14ac:dyDescent="0.2">
      <c r="B2" s="435" t="str">
        <f>HLOOKUP('4 Language'!$B$8,'4 Language'!$C$12:$H$307,283)</f>
        <v xml:space="preserve">BROSE INTERN . Prozess Analyse </v>
      </c>
      <c r="K2" s="271" t="str">
        <f>HLOOKUP('4 Language'!$B$8,'4 Language'!$C$12:$H$307,284)</f>
        <v>KOMPONENTE:</v>
      </c>
      <c r="L2" s="247"/>
      <c r="O2" s="436" t="s">
        <v>1809</v>
      </c>
      <c r="P2" s="393" t="str">
        <f>HLOOKUP('4 Language'!$B$8,'4 Language'!$C$12:$H$307,202)</f>
        <v>Bitte Formeln nicht verändern!</v>
      </c>
      <c r="Q2" s="271"/>
      <c r="R2" s="271"/>
      <c r="S2" s="271"/>
      <c r="T2" s="272"/>
      <c r="U2" s="272"/>
      <c r="V2" s="272"/>
      <c r="W2" s="272"/>
      <c r="X2" s="272"/>
      <c r="Y2" s="272"/>
      <c r="Z2" s="272"/>
      <c r="AA2" s="897" t="s">
        <v>1730</v>
      </c>
      <c r="AB2" s="897"/>
      <c r="AC2" s="896" t="str">
        <f>'4 Language'!C5</f>
        <v xml:space="preserve"> i105 2K</v>
      </c>
      <c r="AD2" s="896"/>
      <c r="AE2" s="896"/>
      <c r="AF2" s="397"/>
      <c r="AH2" s="302"/>
      <c r="AJ2" s="303"/>
      <c r="AK2" s="304"/>
      <c r="AL2" s="303"/>
      <c r="AM2" s="303"/>
    </row>
    <row r="3" spans="1:51" ht="19.899999999999999" customHeight="1" x14ac:dyDescent="0.2">
      <c r="Q3" s="273"/>
      <c r="R3" s="274"/>
      <c r="S3" s="274"/>
      <c r="T3" s="274"/>
      <c r="AJ3" s="303"/>
      <c r="AK3" s="304"/>
      <c r="AL3" s="303"/>
      <c r="AM3" s="303"/>
    </row>
    <row r="4" spans="1:51" ht="19.899999999999999" customHeight="1" x14ac:dyDescent="0.2">
      <c r="B4" s="250" t="str">
        <f>HLOOKUP('4 Language'!$B$8,'4 Language'!$C$12:$H$307,233)</f>
        <v>Übernahme Parameterdatenblatt</v>
      </c>
      <c r="C4" s="251"/>
      <c r="D4" s="251"/>
      <c r="E4" s="251"/>
      <c r="F4" s="251"/>
      <c r="G4" s="251"/>
      <c r="H4" s="251"/>
      <c r="I4" s="251"/>
      <c r="J4" s="250" t="str">
        <f>HLOOKUP('4 Language'!$B$8,'4 Language'!$C$12:$H$307,234)</f>
        <v>PDS</v>
      </c>
      <c r="K4" s="252" t="s">
        <v>1731</v>
      </c>
      <c r="L4" s="251"/>
      <c r="M4" s="253" t="str">
        <f>HLOOKUP('4 Language'!$B$8,'4 Language'!$C$12:$H$307,235)</f>
        <v>Eingabe</v>
      </c>
      <c r="N4" s="252" t="s">
        <v>1731</v>
      </c>
      <c r="O4" s="254"/>
      <c r="P4" s="250" t="str">
        <f>HLOOKUP('4 Language'!$B$8,'4 Language'!$C$12:$H$307,282)</f>
        <v>Auswertungsbereich</v>
      </c>
      <c r="Q4" s="251"/>
      <c r="R4" s="251"/>
      <c r="S4" s="251"/>
      <c r="T4" s="251"/>
      <c r="U4" s="251"/>
      <c r="V4" s="251"/>
      <c r="W4" s="252" t="s">
        <v>1731</v>
      </c>
      <c r="X4" s="250" t="str">
        <f>HLOOKUP('4 Language'!$B$8,'4 Language'!$C$12:$H$307,234)</f>
        <v>PDS</v>
      </c>
      <c r="Y4" s="251"/>
      <c r="Z4" s="253"/>
      <c r="AA4" s="253"/>
      <c r="AB4" s="252" t="s">
        <v>1731</v>
      </c>
      <c r="AC4" s="291" t="str">
        <f>HLOOKUP('4 Language'!$B$8,'4 Language'!$C$12:$H$307,235)</f>
        <v>Eingabe</v>
      </c>
      <c r="AD4" s="252"/>
      <c r="AE4" s="251"/>
      <c r="AJ4" s="303"/>
      <c r="AK4" s="304"/>
      <c r="AL4" s="303"/>
      <c r="AM4" s="303"/>
    </row>
    <row r="5" spans="1:51" ht="19.899999999999999" customHeight="1" x14ac:dyDescent="0.2">
      <c r="B5" s="891" t="str">
        <f>HLOOKUP('4 Language'!$B$8,'4 Language'!$C$12:$H$307,237)</f>
        <v>Im rechten Bereich der Auswertung sind links (graue Felder) die Eingaben aus dem PDS selbst abgebildet, rechts (gelbe Felder) können eigene Werte zur Überprüfung von Optimierungsansätzen eingesetzt werden.</v>
      </c>
      <c r="C5" s="891"/>
      <c r="D5" s="891"/>
      <c r="E5" s="891"/>
      <c r="F5" s="891"/>
      <c r="G5" s="891"/>
      <c r="H5" s="891"/>
      <c r="I5" s="891"/>
      <c r="J5" s="891"/>
      <c r="K5" s="891"/>
      <c r="L5" s="891"/>
      <c r="M5" s="891"/>
      <c r="N5" s="891"/>
      <c r="P5" s="270"/>
      <c r="Q5" s="270"/>
      <c r="R5" s="270"/>
      <c r="S5" s="270"/>
      <c r="T5" s="270"/>
      <c r="U5" s="270"/>
      <c r="V5" s="270"/>
      <c r="W5" s="270"/>
      <c r="X5" s="270"/>
      <c r="Y5" s="270"/>
      <c r="Z5" s="270"/>
      <c r="AA5" s="270"/>
      <c r="AB5" s="270"/>
      <c r="AC5" s="275"/>
      <c r="AD5" s="248"/>
      <c r="AF5" s="306"/>
      <c r="AG5" s="306"/>
      <c r="AJ5" s="303"/>
      <c r="AK5" s="304"/>
      <c r="AL5" s="303"/>
      <c r="AM5" s="303"/>
    </row>
    <row r="6" spans="1:51" ht="19.899999999999999" customHeight="1" x14ac:dyDescent="0.2">
      <c r="B6" s="892"/>
      <c r="C6" s="892"/>
      <c r="D6" s="892"/>
      <c r="E6" s="892"/>
      <c r="F6" s="892"/>
      <c r="G6" s="892"/>
      <c r="H6" s="892"/>
      <c r="I6" s="892"/>
      <c r="J6" s="892"/>
      <c r="K6" s="892"/>
      <c r="L6" s="892"/>
      <c r="M6" s="892"/>
      <c r="N6" s="892"/>
      <c r="P6" s="255" t="str">
        <f>HLOOKUP('4 Language'!$B$8,'4 Language'!$C$12:$H$307,209)</f>
        <v>Dosierhub eingestellt</v>
      </c>
      <c r="Q6" s="256"/>
      <c r="R6" s="256"/>
      <c r="S6" s="256"/>
      <c r="T6" s="256"/>
      <c r="U6" s="256"/>
      <c r="V6" s="257" t="s">
        <v>1734</v>
      </c>
      <c r="W6" s="880" t="str">
        <f>IF(ISERROR(J16/(PI()/4*POWER(J13/10,2))*10),"--",J16/(PI()/4*POWER(J13/10,2))*10)</f>
        <v>--</v>
      </c>
      <c r="X6" s="880"/>
      <c r="Y6" s="256"/>
      <c r="Z6" s="256"/>
      <c r="AA6" s="256"/>
      <c r="AB6" s="880" t="str">
        <f>IF(ISERROR(AW16/(PI()/4*POWER(AW13/10,2))*10),"--",AW16/(PI()/4*POWER(AW13/10,2))*10)</f>
        <v>--</v>
      </c>
      <c r="AC6" s="880"/>
      <c r="AD6" s="256"/>
      <c r="AE6" s="256"/>
      <c r="AF6" s="306"/>
      <c r="AG6" s="306"/>
      <c r="AH6" s="67" t="s">
        <v>1757</v>
      </c>
      <c r="AJ6" s="307"/>
      <c r="AK6" s="308"/>
      <c r="AL6" s="309"/>
      <c r="AM6" s="309"/>
      <c r="AN6" s="310"/>
      <c r="AO6" s="310"/>
      <c r="AP6" s="310"/>
      <c r="AQ6" s="310"/>
      <c r="AR6" s="310"/>
      <c r="AS6" s="310"/>
      <c r="AT6" s="310"/>
      <c r="AU6" s="310"/>
      <c r="AV6" s="310"/>
      <c r="AW6" s="719"/>
      <c r="AX6" s="719"/>
      <c r="AY6" s="311"/>
    </row>
    <row r="7" spans="1:51" ht="19.899999999999999" customHeight="1" x14ac:dyDescent="0.2">
      <c r="B7" s="892"/>
      <c r="C7" s="892"/>
      <c r="D7" s="892"/>
      <c r="E7" s="892"/>
      <c r="F7" s="892"/>
      <c r="G7" s="892"/>
      <c r="H7" s="892"/>
      <c r="I7" s="892"/>
      <c r="J7" s="892"/>
      <c r="K7" s="892"/>
      <c r="L7" s="892"/>
      <c r="M7" s="892"/>
      <c r="N7" s="892"/>
      <c r="AF7" s="306"/>
      <c r="AG7" s="306"/>
      <c r="AH7" s="67" t="s">
        <v>1758</v>
      </c>
      <c r="AJ7" s="312"/>
      <c r="AK7" s="313" t="str">
        <f>HLOOKUP('4 Language'!$B$8,'4 Language'!$C$12:$H$307,230)</f>
        <v>Übergabemaske - bitte keine Änderungen vornehmen!</v>
      </c>
      <c r="AL7" s="72"/>
      <c r="AM7" s="72"/>
      <c r="AN7" s="314"/>
      <c r="AO7" s="314"/>
      <c r="AP7" s="314"/>
      <c r="AQ7" s="314"/>
      <c r="AR7" s="314"/>
      <c r="AS7" s="314"/>
      <c r="AT7" s="868" t="s">
        <v>1809</v>
      </c>
      <c r="AU7" s="314"/>
      <c r="AV7" s="314"/>
      <c r="AX7"/>
      <c r="AY7" s="315"/>
    </row>
    <row r="8" spans="1:51" ht="19.5" customHeight="1" x14ac:dyDescent="0.2">
      <c r="B8" s="893"/>
      <c r="C8" s="893"/>
      <c r="D8" s="893"/>
      <c r="E8" s="893"/>
      <c r="F8" s="893"/>
      <c r="G8" s="893"/>
      <c r="H8" s="893"/>
      <c r="I8" s="893"/>
      <c r="J8" s="893"/>
      <c r="K8" s="893"/>
      <c r="L8" s="893"/>
      <c r="M8" s="893"/>
      <c r="N8" s="893"/>
      <c r="P8" s="255" t="str">
        <f>HLOOKUP('4 Language'!$B$8,'4 Language'!$C$12:$H$307,208)</f>
        <v>Dosierhub maximal</v>
      </c>
      <c r="Q8" s="256"/>
      <c r="R8" s="256"/>
      <c r="S8" s="256"/>
      <c r="T8" s="256"/>
      <c r="U8" s="256"/>
      <c r="V8" s="257" t="s">
        <v>1734</v>
      </c>
      <c r="W8" s="880" t="str">
        <f>IF(ISERROR(J17/(PI()/4*POWER(J13/10,2))*10),"--",J17/(PI()/4*POWER(J13/10,2))*10)</f>
        <v>--</v>
      </c>
      <c r="X8" s="880"/>
      <c r="Y8" s="256"/>
      <c r="Z8" s="256"/>
      <c r="AA8" s="256"/>
      <c r="AB8" s="880" t="str">
        <f>IF(ISERROR(M17/(PI()/4*POWER(AW13/10,2))*10),"--",M17/(PI()/4*POWER(AW13/10,2))*10)</f>
        <v>--</v>
      </c>
      <c r="AC8" s="880"/>
      <c r="AD8" s="256"/>
      <c r="AE8" s="256"/>
      <c r="AF8" s="306"/>
      <c r="AG8" s="306"/>
      <c r="AJ8" s="312"/>
      <c r="AK8" s="316"/>
      <c r="AL8" s="72"/>
      <c r="AM8" s="72"/>
      <c r="AN8" s="314"/>
      <c r="AO8" s="314"/>
      <c r="AP8" s="314"/>
      <c r="AQ8" s="314"/>
      <c r="AR8" s="314"/>
      <c r="AS8" s="314"/>
      <c r="AT8" s="868"/>
      <c r="AU8" s="314"/>
      <c r="AV8" s="314"/>
      <c r="AX8"/>
      <c r="AY8" s="315"/>
    </row>
    <row r="9" spans="1:51" ht="19.149999999999999" customHeight="1" x14ac:dyDescent="0.2">
      <c r="P9" s="881" t="str">
        <f>HLOOKUP('4 Language'!$B$8,'4 Language'!$C$12:$H$307,210)</f>
        <v>Verhältnis Dosierhub / Schneckendurchmesser</v>
      </c>
      <c r="Q9" s="881"/>
      <c r="R9" s="881"/>
      <c r="S9" s="881"/>
      <c r="T9" s="881"/>
      <c r="U9" s="292"/>
      <c r="V9" s="276"/>
      <c r="W9" s="276"/>
      <c r="X9" s="277"/>
      <c r="Y9" s="277"/>
      <c r="Z9" s="277"/>
      <c r="AE9" s="268"/>
      <c r="AF9" s="306"/>
      <c r="AG9" s="306"/>
      <c r="AJ9" s="312"/>
      <c r="AK9" s="255" t="str">
        <f>HLOOKUP('4 Language'!$B$8,'4 Language'!$C$12:$H$307,22)</f>
        <v>Maximale Schließkraft</v>
      </c>
      <c r="AL9" s="317"/>
      <c r="AM9" s="317"/>
      <c r="AN9" s="317"/>
      <c r="AO9" s="317"/>
      <c r="AP9" s="318">
        <f>'1 Injection molding 2K . 3K'!Y10</f>
        <v>0</v>
      </c>
      <c r="AQ9" s="319" t="s">
        <v>1770</v>
      </c>
      <c r="AR9" s="314"/>
      <c r="AS9" s="314"/>
      <c r="AT9" s="868"/>
      <c r="AU9" s="72"/>
      <c r="AX9"/>
      <c r="AY9" s="315"/>
    </row>
    <row r="10" spans="1:51" ht="19.5" customHeight="1" x14ac:dyDescent="0.2">
      <c r="B10" s="400" t="str">
        <f>HLOOKUP('4 Language'!$B$2,'4 Language'!$C$12:$H$307,22)</f>
        <v>Maximale Schließkraft</v>
      </c>
      <c r="C10" s="463"/>
      <c r="D10" s="463"/>
      <c r="E10" s="463"/>
      <c r="F10" s="463"/>
      <c r="G10" s="463"/>
      <c r="H10" s="463"/>
      <c r="I10" s="464" t="s">
        <v>1740</v>
      </c>
      <c r="J10" s="894">
        <f t="shared" ref="J10:J16" si="0">AP9</f>
        <v>0</v>
      </c>
      <c r="K10" s="894"/>
      <c r="L10" s="463"/>
      <c r="M10" s="895"/>
      <c r="N10" s="895"/>
      <c r="P10" s="882"/>
      <c r="Q10" s="882"/>
      <c r="R10" s="882"/>
      <c r="S10" s="882"/>
      <c r="T10" s="882"/>
      <c r="U10" s="256"/>
      <c r="V10" s="257" t="s">
        <v>1735</v>
      </c>
      <c r="W10" s="880" t="str">
        <f>IF(ISERROR((J17/(PI()/4*POWER(J13/10,2))*10)/J13),"--",(J17/(PI()/4*POWER(J13/10,2))*10)/J13)</f>
        <v>--</v>
      </c>
      <c r="X10" s="880"/>
      <c r="Y10" s="256"/>
      <c r="Z10" s="278"/>
      <c r="AA10" s="266"/>
      <c r="AB10" s="880" t="str">
        <f>IF(ISERROR((M17/(PI()/4*POWER(AW13/10,2))*10)/AW13),"--",(M17/(PI()/4*POWER(AW13/10,2))*10)/AW13)</f>
        <v>--</v>
      </c>
      <c r="AC10" s="880"/>
      <c r="AD10" s="256"/>
      <c r="AE10" s="278"/>
      <c r="AF10" s="306"/>
      <c r="AG10" s="306"/>
      <c r="AH10" s="320" t="s">
        <v>1759</v>
      </c>
      <c r="AJ10" s="312"/>
      <c r="AK10" s="255" t="str">
        <f>HLOOKUP('4 Language'!$B$8,'4 Language'!$C$12:$H$307,23)</f>
        <v>Eingestellte Schließkraft</v>
      </c>
      <c r="AL10" s="322"/>
      <c r="AM10" s="322"/>
      <c r="AN10" s="322"/>
      <c r="AO10" s="322"/>
      <c r="AP10" s="323">
        <f>'1 Injection molding 2K . 3K'!Y11</f>
        <v>0</v>
      </c>
      <c r="AQ10" s="324" t="s">
        <v>1770</v>
      </c>
      <c r="AR10" s="314"/>
      <c r="AS10" s="314"/>
      <c r="AT10" s="868"/>
      <c r="AU10" s="72"/>
      <c r="AV10" s="720" t="str" cm="1">
        <f t="array" ref="AV10">IF(AW10=J10,"Ü",IF(AW10=M10,"E",X))</f>
        <v>Ü</v>
      </c>
      <c r="AW10" s="721">
        <f t="shared" ref="AW10:AW16" si="1">IF(M10="",J10,M10)</f>
        <v>0</v>
      </c>
      <c r="AX10"/>
      <c r="AY10" s="315"/>
    </row>
    <row r="11" spans="1:51" ht="19.5" customHeight="1" x14ac:dyDescent="0.2">
      <c r="B11" s="404" t="str">
        <f>HLOOKUP('4 Language'!$B$2,'4 Language'!$C$12:$H$307,23)</f>
        <v>Eingestellte Schließkraft</v>
      </c>
      <c r="C11" s="465"/>
      <c r="D11" s="465"/>
      <c r="E11" s="465"/>
      <c r="F11" s="465"/>
      <c r="G11" s="465"/>
      <c r="H11" s="465"/>
      <c r="I11" s="466" t="s">
        <v>1740</v>
      </c>
      <c r="J11" s="870">
        <f t="shared" si="0"/>
        <v>0</v>
      </c>
      <c r="K11" s="870"/>
      <c r="L11" s="465"/>
      <c r="M11" s="867"/>
      <c r="N11" s="867"/>
      <c r="AF11" s="306"/>
      <c r="AG11" s="306"/>
      <c r="AH11" s="268"/>
      <c r="AI11" s="325"/>
      <c r="AJ11" s="312"/>
      <c r="AK11" s="255" t="str">
        <f>HLOOKUP('4 Language'!$B$8,'4 Language'!$C$12:$H$307,24)</f>
        <v>Projizierte Bauteilfläche</v>
      </c>
      <c r="AL11" s="326"/>
      <c r="AM11" s="326"/>
      <c r="AN11" s="326"/>
      <c r="AO11" s="327"/>
      <c r="AP11" s="328">
        <f>'1 Injection molding 2K . 3K'!N57</f>
        <v>0</v>
      </c>
      <c r="AQ11" s="324" t="s">
        <v>1771</v>
      </c>
      <c r="AR11" s="314"/>
      <c r="AS11" s="314"/>
      <c r="AT11" s="868"/>
      <c r="AU11" s="72"/>
      <c r="AV11" s="720" t="str" cm="1">
        <f t="array" ref="AV11">IF(AW11=J11,"Ü",IF(AW11=M11,"E",X))</f>
        <v>Ü</v>
      </c>
      <c r="AW11" s="721">
        <f t="shared" si="1"/>
        <v>0</v>
      </c>
      <c r="AX11"/>
      <c r="AY11" s="315"/>
    </row>
    <row r="12" spans="1:51" ht="19.5" customHeight="1" x14ac:dyDescent="0.2">
      <c r="B12" s="404" t="str">
        <f>HLOOKUP('4 Language'!$B$2,'4 Language'!$C$12:$H$307,24)</f>
        <v>Projizierte Bauteilfläche</v>
      </c>
      <c r="C12" s="467"/>
      <c r="D12" s="467"/>
      <c r="E12" s="467"/>
      <c r="F12" s="467"/>
      <c r="G12" s="467"/>
      <c r="H12" s="468"/>
      <c r="I12" s="466" t="s">
        <v>1741</v>
      </c>
      <c r="J12" s="870">
        <f>AP11</f>
        <v>0</v>
      </c>
      <c r="K12" s="870"/>
      <c r="L12" s="465"/>
      <c r="M12" s="867"/>
      <c r="N12" s="867"/>
      <c r="P12" s="255" t="str">
        <f>HLOOKUP('4 Language'!$B$8,'4 Language'!$C$12:$H$307,211)</f>
        <v>Zylinderauslastung</v>
      </c>
      <c r="Q12" s="256"/>
      <c r="R12" s="256"/>
      <c r="S12" s="256"/>
      <c r="T12" s="256"/>
      <c r="U12" s="256"/>
      <c r="V12" s="257" t="s">
        <v>1736</v>
      </c>
      <c r="W12" s="880" t="str">
        <f>IF(ISERROR(J17/J16*100),"--",J17/J16*100)</f>
        <v>--</v>
      </c>
      <c r="X12" s="880"/>
      <c r="Y12" s="256"/>
      <c r="Z12" s="278"/>
      <c r="AA12" s="266"/>
      <c r="AB12" s="880" t="str">
        <f>IF(ISERROR(M17/AW16*100),"--",M17/AW16*100)</f>
        <v>--</v>
      </c>
      <c r="AC12" s="880"/>
      <c r="AD12" s="256"/>
      <c r="AE12" s="278"/>
      <c r="AH12" s="320" t="s">
        <v>1760</v>
      </c>
      <c r="AJ12" s="312"/>
      <c r="AK12" s="255" t="str">
        <f>HLOOKUP('4 Language'!$B$8,'4 Language'!$C$12:$H$307,25)</f>
        <v>Schneckendurchmesser</v>
      </c>
      <c r="AL12" s="327"/>
      <c r="AM12" s="327"/>
      <c r="AN12" s="327"/>
      <c r="AO12" s="327"/>
      <c r="AP12" s="323">
        <f>'1 Injection molding 2K . 3K'!N22</f>
        <v>0</v>
      </c>
      <c r="AQ12" s="324" t="s">
        <v>1772</v>
      </c>
      <c r="AR12" s="314"/>
      <c r="AS12" s="314"/>
      <c r="AT12" s="868"/>
      <c r="AU12" s="72"/>
      <c r="AV12" s="720" t="str" cm="1">
        <f t="array" ref="AV12">IF(AW12=J12,"Ü",IF(AW12=M12,"E",X))</f>
        <v>Ü</v>
      </c>
      <c r="AW12" s="721">
        <f t="shared" si="1"/>
        <v>0</v>
      </c>
      <c r="AX12"/>
      <c r="AY12" s="315"/>
    </row>
    <row r="13" spans="1:51" ht="19.5" customHeight="1" x14ac:dyDescent="0.2">
      <c r="B13" s="404" t="str">
        <f>HLOOKUP('4 Language'!$B$2,'4 Language'!$C$12:$H$307,25)</f>
        <v>Schneckendurchmesser</v>
      </c>
      <c r="C13" s="465"/>
      <c r="D13" s="465"/>
      <c r="E13" s="465"/>
      <c r="F13" s="465"/>
      <c r="G13" s="465"/>
      <c r="H13" s="468"/>
      <c r="I13" s="466" t="s">
        <v>1734</v>
      </c>
      <c r="J13" s="870">
        <f t="shared" si="0"/>
        <v>0</v>
      </c>
      <c r="K13" s="870"/>
      <c r="L13" s="465"/>
      <c r="M13" s="867"/>
      <c r="N13" s="867"/>
      <c r="P13" s="901" t="str">
        <f>HLOOKUP('4 Language'!$B$8,'4 Language'!$C$12:$H$307,212)&amp;"  min"</f>
        <v>Gewichtsverhältnis nachdruckfrei zu ausgedrückt  min</v>
      </c>
      <c r="Q13" s="901"/>
      <c r="R13" s="901"/>
      <c r="S13" s="901"/>
      <c r="T13" s="901"/>
      <c r="U13" s="294"/>
      <c r="AF13" s="306"/>
      <c r="AG13" s="306"/>
      <c r="AJ13" s="312"/>
      <c r="AK13" s="255" t="str">
        <f>HLOOKUP('4 Language'!$B$8,'4 Language'!$C$12:$H$307,26)</f>
        <v>Schneckenlänge / Schneckendurchmesser Verhältnis</v>
      </c>
      <c r="AL13" s="327"/>
      <c r="AM13" s="327"/>
      <c r="AN13" s="327"/>
      <c r="AO13" s="327"/>
      <c r="AP13" s="323">
        <f>'1 Injection molding 2K . 3K'!N23</f>
        <v>0</v>
      </c>
      <c r="AQ13" s="324" t="s">
        <v>1773</v>
      </c>
      <c r="AR13" s="314"/>
      <c r="AS13" s="314"/>
      <c r="AT13" s="314"/>
      <c r="AU13" s="72"/>
      <c r="AV13" s="720" t="str" cm="1">
        <f t="array" ref="AV13">IF(AW13=J13,"Ü",IF(AW13=M13,"E",X))</f>
        <v>Ü</v>
      </c>
      <c r="AW13" s="721">
        <f t="shared" si="1"/>
        <v>0</v>
      </c>
      <c r="AX13" s="722"/>
      <c r="AY13" s="315"/>
    </row>
    <row r="14" spans="1:51" ht="19.5" customHeight="1" x14ac:dyDescent="0.2">
      <c r="B14" s="404" t="str">
        <f>HLOOKUP('4 Language'!$B$2,'4 Language'!$C$12:$H$307,190)</f>
        <v xml:space="preserve">L. zu D. Verhältnis Schnecke </v>
      </c>
      <c r="C14" s="465"/>
      <c r="D14" s="465"/>
      <c r="E14" s="465"/>
      <c r="F14" s="465"/>
      <c r="G14" s="465"/>
      <c r="H14" s="468"/>
      <c r="I14" s="466" t="s">
        <v>1742</v>
      </c>
      <c r="J14" s="870">
        <f t="shared" si="0"/>
        <v>0</v>
      </c>
      <c r="K14" s="870"/>
      <c r="L14" s="465"/>
      <c r="M14" s="867"/>
      <c r="N14" s="867"/>
      <c r="P14" s="902"/>
      <c r="Q14" s="902"/>
      <c r="R14" s="902"/>
      <c r="S14" s="902"/>
      <c r="T14" s="902"/>
      <c r="U14" s="293"/>
      <c r="V14" s="257" t="s">
        <v>1736</v>
      </c>
      <c r="W14" s="904" t="str">
        <f>IF(ISERROR(J36/J38*100),"--",J36/J38*100)</f>
        <v>--</v>
      </c>
      <c r="X14" s="904"/>
      <c r="Y14" s="256"/>
      <c r="Z14" s="278"/>
      <c r="AA14" s="266"/>
      <c r="AB14" s="904" t="str">
        <f>IF(ISERROR(AW36/AW38*100),"--",AW36/AW38*100)</f>
        <v>--</v>
      </c>
      <c r="AC14" s="904"/>
      <c r="AD14" s="256"/>
      <c r="AE14" s="278"/>
      <c r="AH14" s="437" t="s">
        <v>1814</v>
      </c>
      <c r="AJ14" s="312"/>
      <c r="AK14" s="255" t="str">
        <f>HLOOKUP('4 Language'!$B$8,'4 Language'!$C$12:$H$307,28)</f>
        <v>max. Plastifizierstrom der Maschine (Basis von  PS)</v>
      </c>
      <c r="AL14" s="329"/>
      <c r="AM14" s="329"/>
      <c r="AN14" s="330"/>
      <c r="AO14" s="330"/>
      <c r="AP14" s="323">
        <f>'1 Injection molding 2K . 3K'!N24</f>
        <v>0</v>
      </c>
      <c r="AQ14" s="324" t="s">
        <v>1774</v>
      </c>
      <c r="AR14" s="314"/>
      <c r="AS14" s="314"/>
      <c r="AT14" s="314"/>
      <c r="AU14" s="72"/>
      <c r="AV14" s="720" t="str" cm="1">
        <f t="array" ref="AV14">IF(AW14=J14,"Ü",IF(AW14=M14,"E",X))</f>
        <v>Ü</v>
      </c>
      <c r="AW14" s="721">
        <f t="shared" si="1"/>
        <v>0</v>
      </c>
      <c r="AX14"/>
      <c r="AY14" s="315"/>
    </row>
    <row r="15" spans="1:51" ht="19.5" customHeight="1" x14ac:dyDescent="0.2">
      <c r="B15" s="404" t="str">
        <f>HLOOKUP('4 Language'!$B$2,'4 Language'!$C$12:$H$307,191)</f>
        <v>max. Plastifizierstrom Maschine</v>
      </c>
      <c r="C15" s="467"/>
      <c r="D15" s="467"/>
      <c r="E15" s="467"/>
      <c r="F15" s="467"/>
      <c r="G15" s="467"/>
      <c r="H15" s="468"/>
      <c r="I15" s="466" t="s">
        <v>1743</v>
      </c>
      <c r="J15" s="870">
        <f t="shared" si="0"/>
        <v>0</v>
      </c>
      <c r="K15" s="870"/>
      <c r="L15" s="465"/>
      <c r="M15" s="867"/>
      <c r="N15" s="867"/>
      <c r="P15" s="901" t="str">
        <f>HLOOKUP('4 Language'!$B$8,'4 Language'!$C$12:$H$307,212)&amp;"  max"</f>
        <v>Gewichtsverhältnis nachdruckfrei zu ausgedrückt  max</v>
      </c>
      <c r="Q15" s="901"/>
      <c r="R15" s="901"/>
      <c r="S15" s="901"/>
      <c r="T15" s="901"/>
      <c r="U15" s="294"/>
      <c r="AF15" s="306"/>
      <c r="AG15" s="306"/>
      <c r="AH15" s="438"/>
      <c r="AJ15" s="312"/>
      <c r="AK15" s="255" t="str">
        <f>HLOOKUP('4 Language'!$B$8,'4 Language'!$C$12:$H$307,29)</f>
        <v>Maximal mögliches Dosiervolumen</v>
      </c>
      <c r="AL15" s="329"/>
      <c r="AM15" s="329"/>
      <c r="AN15" s="330"/>
      <c r="AO15" s="330"/>
      <c r="AP15" s="331">
        <f>'1 Injection molding 2K . 3K'!N25</f>
        <v>0</v>
      </c>
      <c r="AQ15" s="324" t="s">
        <v>1775</v>
      </c>
      <c r="AR15" s="314"/>
      <c r="AS15" s="314"/>
      <c r="AT15" s="332" t="s">
        <v>1777</v>
      </c>
      <c r="AU15" s="72"/>
      <c r="AV15" s="720" t="str" cm="1">
        <f t="array" ref="AV15">IF(AW15=J15,"Ü",IF(AW15=M15,"E",X))</f>
        <v>Ü</v>
      </c>
      <c r="AW15" s="721">
        <f t="shared" si="1"/>
        <v>0</v>
      </c>
      <c r="AX15"/>
      <c r="AY15" s="315"/>
    </row>
    <row r="16" spans="1:51" ht="19.5" customHeight="1" x14ac:dyDescent="0.2">
      <c r="B16" s="404" t="str">
        <f>HLOOKUP('4 Language'!$B$2,'4 Language'!$C$12:$H$307,29)</f>
        <v>Maximal mögliches Dosiervolumen</v>
      </c>
      <c r="C16" s="465"/>
      <c r="D16" s="465"/>
      <c r="E16" s="465"/>
      <c r="F16" s="465"/>
      <c r="G16" s="465"/>
      <c r="H16" s="468"/>
      <c r="I16" s="466" t="s">
        <v>1737</v>
      </c>
      <c r="J16" s="870">
        <f t="shared" si="0"/>
        <v>0</v>
      </c>
      <c r="K16" s="870"/>
      <c r="L16" s="470"/>
      <c r="M16" s="867"/>
      <c r="N16" s="867"/>
      <c r="P16" s="902"/>
      <c r="Q16" s="902"/>
      <c r="R16" s="902"/>
      <c r="S16" s="902"/>
      <c r="T16" s="902"/>
      <c r="U16" s="293"/>
      <c r="V16" s="257" t="s">
        <v>1736</v>
      </c>
      <c r="W16" s="904" t="str">
        <f>IF(ISERROR(J37/J39*100),"--",J37/J39*100)</f>
        <v>--</v>
      </c>
      <c r="X16" s="904"/>
      <c r="Y16" s="256"/>
      <c r="Z16" s="278"/>
      <c r="AA16" s="266"/>
      <c r="AB16" s="904" t="str">
        <f>IF(ISERROR(AW37/AW39*100),"--",AW37/AW39*100)</f>
        <v>--</v>
      </c>
      <c r="AC16" s="904"/>
      <c r="AD16" s="256"/>
      <c r="AE16" s="278"/>
      <c r="AH16" s="437" t="s">
        <v>1814</v>
      </c>
      <c r="AJ16" s="312"/>
      <c r="AK16" s="314"/>
      <c r="AL16" s="314"/>
      <c r="AM16" s="314"/>
      <c r="AN16" s="314"/>
      <c r="AO16" s="314"/>
      <c r="AP16" s="314"/>
      <c r="AQ16" s="314"/>
      <c r="AR16" s="314"/>
      <c r="AS16" s="314"/>
      <c r="AT16" s="333" t="str">
        <f>HLOOKUP('4 Language'!$B$8,'4 Language'!$C$12:$H$307,240)&amp;"  "</f>
        <v xml:space="preserve">druckabhängig  </v>
      </c>
      <c r="AU16" s="72"/>
      <c r="AV16" s="720" t="str" cm="1">
        <f t="array" ref="AV16">IF(AW16=J16,"Ü",IF(AW16=M16,"E",X))</f>
        <v>Ü</v>
      </c>
      <c r="AW16" s="721">
        <f t="shared" si="1"/>
        <v>0</v>
      </c>
      <c r="AX16" s="722"/>
      <c r="AY16" s="315"/>
    </row>
    <row r="17" spans="2:51" ht="19.5" customHeight="1" x14ac:dyDescent="0.2">
      <c r="B17" s="400" t="str">
        <f>HLOOKUP('4 Language'!$B$2,'4 Language'!$C$12:$H$307,30)</f>
        <v>Schußvolumen (berechnet)</v>
      </c>
      <c r="C17" s="463"/>
      <c r="D17" s="463"/>
      <c r="E17" s="463"/>
      <c r="F17" s="463"/>
      <c r="G17" s="463"/>
      <c r="H17" s="471"/>
      <c r="I17" s="464" t="s">
        <v>1737</v>
      </c>
      <c r="J17" s="905" t="str">
        <f>IF(ISERROR(J35/J34),"--",J35/J34)</f>
        <v>--</v>
      </c>
      <c r="K17" s="905"/>
      <c r="L17" s="473"/>
      <c r="M17" s="906" t="str">
        <f>IF(ISERROR(AW35/AW34),"--",AW35/AW34)</f>
        <v>--</v>
      </c>
      <c r="N17" s="906"/>
      <c r="O17" s="246"/>
      <c r="AF17" s="306"/>
      <c r="AG17" s="306"/>
      <c r="AJ17" s="312"/>
      <c r="AK17" s="72"/>
      <c r="AL17" s="72"/>
      <c r="AM17" s="72"/>
      <c r="AN17" s="72"/>
      <c r="AO17" s="72"/>
      <c r="AP17" s="72"/>
      <c r="AQ17" s="72"/>
      <c r="AR17" s="72"/>
      <c r="AS17" s="314"/>
      <c r="AT17" s="334" t="str">
        <f>HLOOKUP('4 Language'!$B$8,'4 Language'!$C$12:$H$307,241)&amp;"  "</f>
        <v xml:space="preserve">wegabhängig  </v>
      </c>
      <c r="AU17" s="72"/>
      <c r="AV17"/>
      <c r="AW17"/>
      <c r="AX17"/>
      <c r="AY17" s="315"/>
    </row>
    <row r="18" spans="2:51" ht="19.5" customHeight="1" x14ac:dyDescent="0.2">
      <c r="B18" s="400" t="str">
        <f>HLOOKUP('4 Language'!$B$2,'4 Language'!$C$12:$H$307,32)</f>
        <v>Dosierzeit (berechnet)</v>
      </c>
      <c r="C18" s="472"/>
      <c r="D18" s="472"/>
      <c r="E18" s="472"/>
      <c r="F18" s="472"/>
      <c r="G18" s="472"/>
      <c r="H18" s="471"/>
      <c r="I18" s="464" t="s">
        <v>1738</v>
      </c>
      <c r="J18" s="906" t="str">
        <f>IF(ISERROR(J17/(J15*J32/0.6)),"--",J17/(J15*J32/0.6))</f>
        <v>--</v>
      </c>
      <c r="K18" s="906"/>
      <c r="L18" s="473"/>
      <c r="M18" s="906" t="str">
        <f>IF(ISERROR(M17/(AW15*M32/0.6)),"--",M17/(AW15*M32/0.6))</f>
        <v>--</v>
      </c>
      <c r="N18" s="906"/>
      <c r="P18" s="255" t="str">
        <f>HLOOKUP('4 Language'!$B$8,'4 Language'!$C$12:$H$307,213)</f>
        <v>Massepolster [Volumen]</v>
      </c>
      <c r="Q18" s="256"/>
      <c r="R18" s="256"/>
      <c r="S18" s="256"/>
      <c r="T18" s="256"/>
      <c r="U18" s="256"/>
      <c r="V18" s="257" t="s">
        <v>1737</v>
      </c>
      <c r="W18" s="880">
        <f>IF(ISERROR(IF(AS27=4,J29,IF(AS27=5,(POWER(J13,2)*PI()/4*J29/1000),"--"))),"--",IF(AS27=4,J29,IF(AS27=5,(POWER(J13,2)*PI()/4*J29/1000),"--")))</f>
        <v>0</v>
      </c>
      <c r="X18" s="880"/>
      <c r="Y18" s="256"/>
      <c r="Z18" s="256"/>
      <c r="AA18" s="256"/>
      <c r="AB18" s="880" t="str">
        <f>IF(ISERROR(IF(AS29=2,AW29,IF(AS29=1,(POWER(AW13,2)*PI()/4*AW29/1000),"--"))),"--",IF(AS29=2,AW29,IF(AS29=1,(POWER(AW13,2)*PI()/4*AW29/1000),"--")))</f>
        <v>--</v>
      </c>
      <c r="AC18" s="880"/>
      <c r="AD18" s="266"/>
      <c r="AE18" s="256"/>
      <c r="AH18" s="70"/>
      <c r="AJ18" s="312"/>
      <c r="AK18" s="255" t="str">
        <f>HLOOKUP('4 Language'!$B$8,'4 Language'!$C$12:$H$307,33)</f>
        <v>Zykluszeit</v>
      </c>
      <c r="AL18" s="336"/>
      <c r="AM18" s="336"/>
      <c r="AN18" s="335"/>
      <c r="AO18" s="335"/>
      <c r="AP18" s="331">
        <f>'1 Injection molding 2K . 3K'!K13</f>
        <v>0</v>
      </c>
      <c r="AQ18" s="337" t="s">
        <v>1776</v>
      </c>
      <c r="AR18" s="314"/>
      <c r="AS18" s="314"/>
      <c r="AT18" s="334" t="str">
        <f>HLOOKUP('4 Language'!$B$8,'4 Language'!$C$12:$H$307,242)&amp;"  "</f>
        <v xml:space="preserve">volumenabhängig  </v>
      </c>
      <c r="AU18" s="72"/>
      <c r="AV18"/>
      <c r="AW18"/>
      <c r="AX18"/>
      <c r="AY18" s="315"/>
    </row>
    <row r="19" spans="2:51" ht="19.5" customHeight="1" x14ac:dyDescent="0.2">
      <c r="B19" s="404" t="str">
        <f>HLOOKUP('4 Language'!$B$2,'4 Language'!$C$12:$H$307,33)</f>
        <v>Zykluszeit</v>
      </c>
      <c r="C19" s="467"/>
      <c r="D19" s="467"/>
      <c r="E19" s="467"/>
      <c r="F19" s="467"/>
      <c r="G19" s="467"/>
      <c r="H19" s="467"/>
      <c r="I19" s="466" t="s">
        <v>1738</v>
      </c>
      <c r="J19" s="907">
        <f>AP18</f>
        <v>0</v>
      </c>
      <c r="K19" s="907"/>
      <c r="L19" s="473"/>
      <c r="M19" s="865"/>
      <c r="N19" s="865"/>
      <c r="P19" s="258" t="str">
        <f>IF(AS27=4,AT18,IF(AS27=5,AT17,AT19))</f>
        <v xml:space="preserve">wegabhängig  </v>
      </c>
      <c r="AF19" s="306"/>
      <c r="AG19" s="306"/>
      <c r="AJ19" s="312"/>
      <c r="AK19" s="338"/>
      <c r="AL19" s="339"/>
      <c r="AM19" s="339"/>
      <c r="AN19" s="340"/>
      <c r="AO19" s="340"/>
      <c r="AP19" s="340"/>
      <c r="AQ19" s="340"/>
      <c r="AR19" s="314"/>
      <c r="AS19" s="314"/>
      <c r="AT19" s="334" t="str">
        <f>HLOOKUP('4 Language'!$B$8,'4 Language'!$C$12:$H$307,243)&amp;"  "</f>
        <v xml:space="preserve">fehlende Auswahl  </v>
      </c>
      <c r="AU19" s="72"/>
      <c r="AV19" s="720" t="str" cm="1">
        <f t="array" ref="AV19">IF(AW19=J19,"Ü",IF(AW19=M19,"E",X))</f>
        <v>Ü</v>
      </c>
      <c r="AW19" s="721">
        <f t="shared" ref="AW19" si="2">IF(M19="",J19,M19)</f>
        <v>0</v>
      </c>
      <c r="AX19"/>
      <c r="AY19" s="315"/>
    </row>
    <row r="20" spans="2:51" ht="19.5" customHeight="1" x14ac:dyDescent="0.2">
      <c r="B20" s="404" t="str">
        <f>HLOOKUP('4 Language'!$B$2,'4 Language'!$C$12:$H$307,34)</f>
        <v>Verweilzeit (Näherungswert)</v>
      </c>
      <c r="C20" s="467"/>
      <c r="D20" s="467"/>
      <c r="E20" s="467"/>
      <c r="F20" s="467"/>
      <c r="G20" s="467"/>
      <c r="H20" s="467"/>
      <c r="I20" s="470" t="s">
        <v>1744</v>
      </c>
      <c r="J20" s="908" t="str">
        <f>IF(ISERROR((((((PI()/4*POWER(J13/10,2)*J14*J13/10)-J17)*0.3333)+J17)/J17)*J19/60),"--",(((((PI()/4*POWER(J13/10,2)*J14*J13/10)-J17)*0.3333)+J17)/J17)*J19/60)</f>
        <v>--</v>
      </c>
      <c r="K20" s="908"/>
      <c r="L20" s="473"/>
      <c r="M20" s="906" t="str">
        <f>IF(ISERROR((((((PI()/4*POWER(AW13/10,2)*AW14*AW13/10)-M17)*0.3333)+M17)/M17)*AW19/60),"--",(((((PI()/4*POWER(AW13/10,2)*AW14*AW13/10)-M17)*0.3333)+M17)/M17)*AW19/60)</f>
        <v>--</v>
      </c>
      <c r="N20" s="906"/>
      <c r="P20" s="255" t="str">
        <f>HLOOKUP('4 Language'!$B$8,'4 Language'!$C$12:$H$307,214)</f>
        <v>Massepolster [Weg]</v>
      </c>
      <c r="Q20" s="256"/>
      <c r="R20" s="256"/>
      <c r="S20" s="256"/>
      <c r="T20" s="256"/>
      <c r="U20" s="256"/>
      <c r="V20" s="257" t="s">
        <v>1734</v>
      </c>
      <c r="W20" s="880">
        <f>IF(ISERROR(IF(AS27=5,J29,IF(AS27=4,J29/(POWER(J13/10,2)*PI()/4)*10,"--"))),"--",IF(AS27=5,J29,IF(AS27=4,J29/(POWER(J13/10,2)*PI()/4)*10,"--")))</f>
        <v>0</v>
      </c>
      <c r="X20" s="880"/>
      <c r="Y20" s="256"/>
      <c r="Z20" s="278"/>
      <c r="AA20" s="266"/>
      <c r="AB20" s="880" t="str">
        <f>IF(ISERROR(IF(AS29=1,AW29,IF(AS29=2,AW29/(POWER(AW13/10,2)*PI()/4)*10,"--"))),"--",IF(AS29=1,AW29,IF(AS29=2,AW29/(POWER(AW13/10,2)*PI()/4)*10,"--")))</f>
        <v>--</v>
      </c>
      <c r="AC20" s="880"/>
      <c r="AD20" s="256"/>
      <c r="AE20" s="278"/>
      <c r="AH20" s="320" t="s">
        <v>1761</v>
      </c>
      <c r="AJ20" s="312"/>
      <c r="AK20" s="255" t="str">
        <f>HLOOKUP('4 Language'!$B$8,'4 Language'!$C$12:$H$307,35)</f>
        <v>Einspritzzeit (siehe "Prozessüberwachung")</v>
      </c>
      <c r="AL20" s="336"/>
      <c r="AM20" s="336"/>
      <c r="AN20" s="335"/>
      <c r="AO20" s="341">
        <f>'1 Injection molding 2K . 3K'!L35</f>
        <v>0</v>
      </c>
      <c r="AP20" s="342"/>
      <c r="AQ20" s="341">
        <f>'1 Injection molding 2K . 3K'!O35</f>
        <v>0</v>
      </c>
      <c r="AR20" s="314"/>
      <c r="AS20" s="314"/>
      <c r="AT20" s="314"/>
      <c r="AU20" s="72"/>
      <c r="AV20"/>
      <c r="AW20"/>
      <c r="AX20"/>
      <c r="AY20" s="315"/>
    </row>
    <row r="21" spans="2:51" ht="19.5" customHeight="1" x14ac:dyDescent="0.2">
      <c r="B21" s="263" t="str">
        <f>HLOOKUP('4 Language'!$B$2,'4 Language'!$C$12:$H$307,287)</f>
        <v>Hinweis: Verweilzeitberechung hier unter Berücksichtigung des L/D Verhältnisses</v>
      </c>
      <c r="C21" s="399"/>
      <c r="D21" s="399"/>
      <c r="E21" s="399"/>
      <c r="F21" s="399"/>
      <c r="G21" s="399"/>
      <c r="H21" s="399"/>
      <c r="I21" s="469"/>
      <c r="J21" s="259"/>
      <c r="K21" s="259"/>
      <c r="L21" s="399"/>
      <c r="M21" s="259"/>
      <c r="N21" s="259"/>
      <c r="P21" s="258" t="str">
        <f>IF(AS27=4,AT18,IF(AS27=5,AT17,AT19))</f>
        <v xml:space="preserve">wegabhängig  </v>
      </c>
      <c r="AH21" s="70"/>
      <c r="AJ21" s="312"/>
      <c r="AK21" s="255" t="str">
        <f>HLOOKUP('4 Language'!$B$8,'4 Language'!$C$12:$H$307,36)</f>
        <v>Spezifischer Nachdruck (Profil)</v>
      </c>
      <c r="AL21" s="336"/>
      <c r="AM21" s="343"/>
      <c r="AN21" s="343"/>
      <c r="AO21" s="343"/>
      <c r="AP21" s="343"/>
      <c r="AQ21" s="343"/>
      <c r="AR21" s="314"/>
      <c r="AS21" s="314"/>
      <c r="AT21" s="314"/>
      <c r="AU21" s="72"/>
      <c r="AV21" s="314"/>
      <c r="AX21"/>
      <c r="AY21" s="315"/>
    </row>
    <row r="22" spans="2:51" ht="19.5" customHeight="1" x14ac:dyDescent="0.2">
      <c r="B22" s="400" t="str">
        <f>HLOOKUP('4 Language'!$B$2,'4 Language'!$C$12:$H$307,35)</f>
        <v>Einspritzzeit (siehe "Prozessüberwachung")</v>
      </c>
      <c r="C22" s="463"/>
      <c r="D22" s="463"/>
      <c r="E22" s="463"/>
      <c r="F22" s="463"/>
      <c r="G22" s="474"/>
      <c r="H22" s="475" t="s">
        <v>1745</v>
      </c>
      <c r="I22" s="476" t="s">
        <v>1746</v>
      </c>
      <c r="J22" s="477">
        <f>AO20</f>
        <v>0</v>
      </c>
      <c r="K22" s="478">
        <f>AQ20</f>
        <v>0</v>
      </c>
      <c r="L22" s="473"/>
      <c r="M22" s="260"/>
      <c r="N22" s="261"/>
      <c r="P22" s="255" t="str">
        <f>HLOOKUP('4 Language'!$B$8,'4 Language'!$C$12:$H$307,216)</f>
        <v>Nachdruckvolumen</v>
      </c>
      <c r="Q22" s="256"/>
      <c r="R22" s="256"/>
      <c r="S22" s="256"/>
      <c r="T22" s="256"/>
      <c r="U22" s="256"/>
      <c r="V22" s="257" t="s">
        <v>1737</v>
      </c>
      <c r="W22" s="880">
        <f>IF(ISERROR(IF(AS27=4,J27-J29,IF(AS27=5,(POWER(J13/10,2)*PI()/4)*((J27-J29)/10),"--"))),"--",IF(AS27=4,J27-J29,IF(AS27=5,(POWER(J13/10,2)*PI()/4)*((J27-J29)/10),"--")))</f>
        <v>0</v>
      </c>
      <c r="X22" s="880"/>
      <c r="Y22" s="256"/>
      <c r="Z22" s="278"/>
      <c r="AA22" s="266"/>
      <c r="AB22" s="880" t="str">
        <f>IF(ISERROR(IF(AS27=3,AW27-AW29,IF(AS27=2,(POWER(AW13/10,2)*PI()/4)*((AW27-AW29)/10),"--"))),"--",IF(AS27=3,AW27-AW29,IF(AS27=2,(POWER(AW13/10,2)*PI()/4)*((AW27-AW29)/10),"--")))</f>
        <v>--</v>
      </c>
      <c r="AC22" s="880"/>
      <c r="AD22" s="256"/>
      <c r="AE22" s="278"/>
      <c r="AH22" s="320" t="s">
        <v>1762</v>
      </c>
      <c r="AJ22" s="312"/>
      <c r="AK22" s="255" t="str">
        <f>HLOOKUP('4 Language'!$B$8,'4 Language'!$C$12:$H$307,37)</f>
        <v>Zeit</v>
      </c>
      <c r="AL22" s="262"/>
      <c r="AM22" s="394">
        <f>'1 Injection molding 2K . 3K'!N43</f>
        <v>0</v>
      </c>
      <c r="AN22" s="394">
        <f>'1 Injection molding 2K . 3K'!N44</f>
        <v>0</v>
      </c>
      <c r="AO22" s="395">
        <f>'1 Injection molding 2K . 3K'!N45</f>
        <v>0</v>
      </c>
      <c r="AP22" s="395">
        <f>'1 Injection molding 2K . 3K'!N46</f>
        <v>0</v>
      </c>
      <c r="AQ22" s="396">
        <f>'1 Injection molding 2K . 3K'!N47</f>
        <v>0</v>
      </c>
      <c r="AR22" s="345" t="str">
        <f>"∑  "&amp;SUM(AM22:AQ22)</f>
        <v>∑  0</v>
      </c>
      <c r="AS22" s="346" t="b">
        <f>IF(AR22&gt;0,TRUE,FALSE)</f>
        <v>1</v>
      </c>
      <c r="AT22" s="314"/>
      <c r="AU22" s="72"/>
      <c r="AV22" s="720" t="str" cm="1">
        <f t="array" ref="AV22">IF(AW22=J22,"Ü",IF(AW22=M22,"E",X))</f>
        <v>Ü</v>
      </c>
      <c r="AW22" s="723">
        <f t="shared" ref="AW22:AX22" si="3">IF(M22="",J22,M22)</f>
        <v>0</v>
      </c>
      <c r="AX22" s="721">
        <f t="shared" si="3"/>
        <v>0</v>
      </c>
      <c r="AY22" s="315"/>
    </row>
    <row r="23" spans="2:51" ht="19.5" customHeight="1" x14ac:dyDescent="0.2">
      <c r="B23" s="404" t="str">
        <f>HLOOKUP('4 Language'!$B$2,'4 Language'!$C$12:$H$307,192)</f>
        <v>Nachdruckzeit (gesamt)</v>
      </c>
      <c r="C23" s="465"/>
      <c r="D23" s="465"/>
      <c r="E23" s="465"/>
      <c r="F23" s="465"/>
      <c r="G23" s="465"/>
      <c r="H23" s="465"/>
      <c r="I23" s="466" t="s">
        <v>1738</v>
      </c>
      <c r="J23" s="864">
        <f>MAX(SUM(AM22:AQ22),AP24)</f>
        <v>0</v>
      </c>
      <c r="K23" s="864"/>
      <c r="L23" s="470"/>
      <c r="M23" s="865"/>
      <c r="N23" s="865"/>
      <c r="P23" s="258" t="str">
        <f>IF(AS27=4,AT18,IF(AS27=5,AT17,AT19))</f>
        <v xml:space="preserve">wegabhängig  </v>
      </c>
      <c r="Q23" s="269"/>
      <c r="R23" s="269"/>
      <c r="S23" s="276"/>
      <c r="T23" s="276"/>
      <c r="U23" s="268"/>
      <c r="V23" s="276"/>
      <c r="W23" s="276"/>
      <c r="X23" s="279"/>
      <c r="Y23" s="279"/>
      <c r="Z23" s="279"/>
      <c r="AA23" s="279"/>
      <c r="AB23" s="279"/>
      <c r="AC23" s="279"/>
      <c r="AD23" s="279"/>
      <c r="AE23" s="279"/>
      <c r="AJ23" s="312"/>
      <c r="AK23" s="255" t="str">
        <f>HLOOKUP('4 Language'!$B$8,'4 Language'!$C$12:$H$307,38)</f>
        <v>Druck</v>
      </c>
      <c r="AL23" s="262"/>
      <c r="AM23" s="394">
        <f>'1 Injection molding 2K . 3K'!L43</f>
        <v>0</v>
      </c>
      <c r="AN23" s="394">
        <f>'1 Injection molding 2K . 3K'!L44</f>
        <v>0</v>
      </c>
      <c r="AO23" s="395">
        <f>'1 Injection molding 2K . 3K'!L45</f>
        <v>0</v>
      </c>
      <c r="AP23" s="395">
        <f>'1 Injection molding 2K . 3K'!L46</f>
        <v>0</v>
      </c>
      <c r="AQ23" s="396">
        <f>'1 Injection molding 2K . 3K'!L47</f>
        <v>0</v>
      </c>
      <c r="AR23" s="314"/>
      <c r="AS23" s="314"/>
      <c r="AT23" s="314"/>
      <c r="AU23" s="72"/>
      <c r="AV23" s="720" t="str" cm="1">
        <f t="array" ref="AV23">IF(AW23=J23,"Ü",IF(AW23=M23,"E",X))</f>
        <v>Ü</v>
      </c>
      <c r="AW23" s="721">
        <f>IF(M23="",J23,M23)</f>
        <v>0</v>
      </c>
      <c r="AX23"/>
      <c r="AY23" s="315"/>
    </row>
    <row r="24" spans="2:51" ht="19.5" customHeight="1" x14ac:dyDescent="0.2">
      <c r="B24" s="404" t="str">
        <f>HLOOKUP('4 Language'!$B$2,'4 Language'!$C$12:$H$307,193)</f>
        <v>Nachdruck (max)</v>
      </c>
      <c r="C24" s="465"/>
      <c r="D24" s="465"/>
      <c r="E24" s="465"/>
      <c r="F24" s="465"/>
      <c r="G24" s="465"/>
      <c r="H24" s="465"/>
      <c r="I24" s="466" t="s">
        <v>1747</v>
      </c>
      <c r="J24" s="870">
        <f>MAX(AM23:AQ23)</f>
        <v>0</v>
      </c>
      <c r="K24" s="870"/>
      <c r="L24" s="470"/>
      <c r="M24" s="877"/>
      <c r="N24" s="877"/>
      <c r="P24" s="881" t="str">
        <f>HLOOKUP('4 Language'!$B$8,'4 Language'!$C$12:$H$307,217)</f>
        <v>Verhältnis Nachdruckvolumen zu Schußvolumen</v>
      </c>
      <c r="Q24" s="881"/>
      <c r="R24" s="881"/>
      <c r="S24" s="881"/>
      <c r="T24" s="881"/>
      <c r="AH24" s="70"/>
      <c r="AJ24" s="312"/>
      <c r="AK24" s="255" t="str">
        <f>HLOOKUP('4 Language'!$B$8,'4 Language'!$C$12:$H$307,39)</f>
        <v>Nachdruckzeit</v>
      </c>
      <c r="AL24" s="347"/>
      <c r="AM24" s="347"/>
      <c r="AN24" s="348"/>
      <c r="AO24" s="349"/>
      <c r="AP24" s="344">
        <f>'1 Injection molding 2K . 3K'!N48</f>
        <v>0</v>
      </c>
      <c r="AQ24" s="324" t="s">
        <v>1776</v>
      </c>
      <c r="AR24" s="314"/>
      <c r="AS24" s="350">
        <f>IF(AND(AR22=0,AP24=0),1,IF(AND(AR22=0,AP24&gt;0),2,IF(AND(AR22&gt;0,AP24=0),3,IF(AND(AR22&gt;0,AP24&gt;0,AR22=AP24),4,5))))</f>
        <v>3</v>
      </c>
      <c r="AT24" s="314"/>
      <c r="AU24" s="72"/>
      <c r="AV24" s="720"/>
      <c r="AW24" s="721">
        <f>IF(M24="",J24,M24)</f>
        <v>0</v>
      </c>
      <c r="AX24"/>
      <c r="AY24" s="315"/>
    </row>
    <row r="25" spans="2:51" ht="19.5" customHeight="1" x14ac:dyDescent="0.2">
      <c r="B25" s="404" t="str">
        <f>HLOOKUP('4 Language'!$B$8,'4 Language'!$C$12:$H$307,41)</f>
        <v>Siegelzeit</v>
      </c>
      <c r="C25" s="465"/>
      <c r="D25" s="465"/>
      <c r="E25" s="465"/>
      <c r="F25" s="465"/>
      <c r="G25" s="465"/>
      <c r="H25" s="465"/>
      <c r="I25" s="466" t="s">
        <v>1738</v>
      </c>
      <c r="J25" s="864">
        <f>AP25</f>
        <v>0</v>
      </c>
      <c r="K25" s="864"/>
      <c r="L25" s="470"/>
      <c r="M25" s="865"/>
      <c r="N25" s="865"/>
      <c r="P25" s="882"/>
      <c r="Q25" s="882"/>
      <c r="R25" s="882"/>
      <c r="S25" s="882"/>
      <c r="T25" s="882"/>
      <c r="U25" s="256"/>
      <c r="V25" s="257" t="s">
        <v>1736</v>
      </c>
      <c r="W25" s="880" t="str">
        <f>IF(ISERROR(W22/J17*100),"--",W22/J17*100)</f>
        <v>--</v>
      </c>
      <c r="X25" s="880"/>
      <c r="Y25" s="256"/>
      <c r="Z25" s="256"/>
      <c r="AA25" s="256"/>
      <c r="AB25" s="880" t="str">
        <f>IF(ISERROR(AB22/M17*100),"--",AB22/M17*100)</f>
        <v>--</v>
      </c>
      <c r="AC25" s="880"/>
      <c r="AD25" s="256"/>
      <c r="AE25" s="256"/>
      <c r="AF25" s="306"/>
      <c r="AG25" s="306"/>
      <c r="AJ25" s="312"/>
      <c r="AK25" s="321" t="str">
        <f>HLOOKUP('4 Language'!$B$8,'4 Language'!$C$12:$H$307,41)</f>
        <v>Siegelzeit</v>
      </c>
      <c r="AL25" s="351"/>
      <c r="AM25" s="351"/>
      <c r="AN25" s="351"/>
      <c r="AO25" s="351"/>
      <c r="AP25" s="344">
        <f>'1 Injection molding 2K . 3K'!N52</f>
        <v>0</v>
      </c>
      <c r="AQ25" s="324" t="s">
        <v>1776</v>
      </c>
      <c r="AR25" s="314"/>
      <c r="AS25" s="314"/>
      <c r="AT25" s="314"/>
      <c r="AU25" s="72"/>
      <c r="AV25" s="720"/>
      <c r="AW25" s="721">
        <f t="shared" ref="AW25:AW27" si="4">IF(M25="",J25,M25)</f>
        <v>0</v>
      </c>
      <c r="AX25"/>
      <c r="AY25" s="315"/>
    </row>
    <row r="26" spans="2:51" ht="19.5" customHeight="1" x14ac:dyDescent="0.2">
      <c r="B26" s="404" t="str">
        <f>HLOOKUP('4 Language'!$B$2,'4 Language'!$C$12:$H$307,42)</f>
        <v>Restkühlzeit</v>
      </c>
      <c r="C26" s="465"/>
      <c r="D26" s="465"/>
      <c r="E26" s="465"/>
      <c r="F26" s="465"/>
      <c r="G26" s="465"/>
      <c r="H26" s="465"/>
      <c r="I26" s="466" t="s">
        <v>1738</v>
      </c>
      <c r="J26" s="864">
        <f>AP26</f>
        <v>0</v>
      </c>
      <c r="K26" s="864"/>
      <c r="L26" s="470"/>
      <c r="M26" s="865"/>
      <c r="N26" s="865"/>
      <c r="P26" s="881" t="str">
        <f>HLOOKUP('4 Language'!$B$8,'4 Language'!$C$12:$H$307,218)</f>
        <v>Differenz der angegebenen Zeiten zum Gesamtzyklus</v>
      </c>
      <c r="Q26" s="881"/>
      <c r="R26" s="881"/>
      <c r="S26" s="881"/>
      <c r="T26" s="881"/>
      <c r="AH26" s="70"/>
      <c r="AJ26" s="312"/>
      <c r="AK26" s="321" t="str">
        <f>HLOOKUP('4 Language'!$B$8,'4 Language'!$C$12:$H$307,42)</f>
        <v>Restkühlzeit</v>
      </c>
      <c r="AL26" s="352"/>
      <c r="AM26" s="352"/>
      <c r="AN26" s="352"/>
      <c r="AO26" s="352"/>
      <c r="AP26" s="344">
        <f>'1 Injection molding 2K . 3K'!N53</f>
        <v>0</v>
      </c>
      <c r="AQ26" s="324" t="s">
        <v>1776</v>
      </c>
      <c r="AR26" s="314"/>
      <c r="AS26" s="314"/>
      <c r="AT26" s="353"/>
      <c r="AU26" s="72"/>
      <c r="AV26" s="720" t="str" cm="1">
        <f t="array" ref="AV26">IF(AW26=J26,"Ü",IF(AW26=M26,"E",X))</f>
        <v>Ü</v>
      </c>
      <c r="AW26" s="721">
        <f t="shared" si="4"/>
        <v>0</v>
      </c>
      <c r="AX26"/>
      <c r="AY26" s="315"/>
    </row>
    <row r="27" spans="2:51" ht="19.5" customHeight="1" x14ac:dyDescent="0.2">
      <c r="B27" s="404" t="str">
        <f>HLOOKUP('4 Language'!$B$2,'4 Language'!$C$12:$H$307,47)</f>
        <v xml:space="preserve">Umschaltpunkt </v>
      </c>
      <c r="C27" s="465"/>
      <c r="D27" s="465"/>
      <c r="E27" s="465"/>
      <c r="F27" s="465"/>
      <c r="G27" s="465"/>
      <c r="H27" s="479"/>
      <c r="I27" s="466" t="str">
        <f>"["&amp;IF(AS27=3,"bar",IF(AS27=5,"mm",IF(AS27=4,"cm³"," --")))&amp;"] "</f>
        <v xml:space="preserve">[mm] </v>
      </c>
      <c r="J27" s="864">
        <f>AP28</f>
        <v>0</v>
      </c>
      <c r="K27" s="864"/>
      <c r="L27" s="470"/>
      <c r="M27" s="903"/>
      <c r="N27" s="903"/>
      <c r="P27" s="882"/>
      <c r="Q27" s="882"/>
      <c r="R27" s="882"/>
      <c r="S27" s="882"/>
      <c r="T27" s="882"/>
      <c r="U27" s="256"/>
      <c r="V27" s="257" t="s">
        <v>1738</v>
      </c>
      <c r="W27" s="880">
        <f>IF(ISERROR(J19-(J22+J23+J26+$AP$43)),"--",J19-(J22+J23+J26+$AP$43))</f>
        <v>0</v>
      </c>
      <c r="X27" s="880"/>
      <c r="Y27" s="256"/>
      <c r="Z27" s="256"/>
      <c r="AA27" s="256"/>
      <c r="AB27" s="880">
        <f>IF(ISERROR(AW19-(AW22+AW23+AW26+$AP$43)),"--",AW19-(AW22+AW23+AW26+$AP$43))</f>
        <v>0</v>
      </c>
      <c r="AC27" s="880"/>
      <c r="AD27" s="256"/>
      <c r="AE27" s="256"/>
      <c r="AH27" s="70"/>
      <c r="AJ27" s="312"/>
      <c r="AK27" s="429" t="str">
        <f>IF(OR(AS27=1,AS27=2),"Keine Berechnung möglich bei Fehleingabe oder Auswahl -druckabhängig- !","")</f>
        <v/>
      </c>
      <c r="AL27" s="314"/>
      <c r="AM27" s="314"/>
      <c r="AN27" s="314"/>
      <c r="AO27" s="354"/>
      <c r="AP27" s="355"/>
      <c r="AQ27" s="355"/>
      <c r="AR27" s="314"/>
      <c r="AS27" s="350">
        <f>'1 Injection molding 2K . 3K'!AI21</f>
        <v>5</v>
      </c>
      <c r="AT27" s="353"/>
      <c r="AU27" s="72"/>
      <c r="AV27" s="720"/>
      <c r="AW27" s="721">
        <f t="shared" si="4"/>
        <v>0</v>
      </c>
      <c r="AX27"/>
      <c r="AY27" s="315"/>
    </row>
    <row r="28" spans="2:51" ht="19.5" customHeight="1" x14ac:dyDescent="0.2">
      <c r="B28" s="263" t="str">
        <f>AO28</f>
        <v xml:space="preserve">wegabhängig  </v>
      </c>
      <c r="P28" s="881" t="str">
        <f>HLOOKUP('4 Language'!$B$8,'4 Language'!$C$12:$H$307,219)</f>
        <v>Differenz zwischen Restkühlzeit und Dosierzeit</v>
      </c>
      <c r="Q28" s="881"/>
      <c r="R28" s="881"/>
      <c r="S28" s="881"/>
      <c r="T28" s="881"/>
      <c r="AH28" s="70"/>
      <c r="AJ28" s="312"/>
      <c r="AK28" s="400" t="str">
        <f>HLOOKUP('4 Language'!$B$8,'4 Language'!$C$12:$H$307,43)</f>
        <v xml:space="preserve">Umschaltung abhängig von </v>
      </c>
      <c r="AL28" s="401"/>
      <c r="AM28" s="401"/>
      <c r="AN28" s="401"/>
      <c r="AO28" s="430" t="str">
        <f>IF(AS27=1,AT19,IF(AS27=2,AT19,IF(AS27=3,AT16,IF(AS27=4,AT18,AT17))))</f>
        <v xml:space="preserve">wegabhängig  </v>
      </c>
      <c r="AP28" s="402">
        <f>'1 Injection molding 2K . 3K'!N39</f>
        <v>0</v>
      </c>
      <c r="AQ28" s="431" t="str">
        <f>IF(AS27=3," [bar]",IF(AS27=5," [mm]",IF(AS27=4," [cm³]"," --")))</f>
        <v xml:space="preserve"> [mm]</v>
      </c>
      <c r="AR28" s="314"/>
      <c r="AS28" s="314"/>
      <c r="AT28" s="353"/>
      <c r="AU28" s="72"/>
      <c r="AV28" s="314"/>
      <c r="AX28"/>
      <c r="AY28" s="315"/>
    </row>
    <row r="29" spans="2:51" ht="19.5" customHeight="1" x14ac:dyDescent="0.2">
      <c r="B29" s="400" t="str">
        <f>HLOOKUP('4 Language'!$B$2,'4 Language'!$C$12:$H$307,49)</f>
        <v>Massepolster (siehe "Prozessüberwachung")</v>
      </c>
      <c r="C29" s="463"/>
      <c r="D29" s="463"/>
      <c r="E29" s="463"/>
      <c r="F29" s="463"/>
      <c r="G29" s="474"/>
      <c r="H29" s="473" t="s">
        <v>1748</v>
      </c>
      <c r="I29" s="476" t="s">
        <v>1746</v>
      </c>
      <c r="J29" s="477">
        <f>AO29</f>
        <v>0</v>
      </c>
      <c r="K29" s="478">
        <f>AQ29</f>
        <v>0</v>
      </c>
      <c r="L29" s="473"/>
      <c r="M29" s="264"/>
      <c r="N29" s="265"/>
      <c r="P29" s="882"/>
      <c r="Q29" s="882"/>
      <c r="R29" s="882"/>
      <c r="S29" s="882"/>
      <c r="T29" s="882"/>
      <c r="U29" s="256"/>
      <c r="V29" s="257" t="s">
        <v>1738</v>
      </c>
      <c r="W29" s="880" t="str">
        <f>IF(ISERROR(J26-J18),"--",J26-J18)</f>
        <v>--</v>
      </c>
      <c r="X29" s="880"/>
      <c r="Y29" s="256"/>
      <c r="Z29" s="280"/>
      <c r="AA29" s="256"/>
      <c r="AB29" s="880" t="str">
        <f>IF(ISERROR(AW26-M18),"--",AW26-M18)</f>
        <v>--</v>
      </c>
      <c r="AC29" s="880"/>
      <c r="AD29" s="266"/>
      <c r="AE29" s="280"/>
      <c r="AH29" s="320" t="s">
        <v>1763</v>
      </c>
      <c r="AJ29" s="312"/>
      <c r="AK29" s="400" t="str">
        <f>HLOOKUP('4 Language'!$B$8,'4 Language'!$C$12:$H$307,48)</f>
        <v>Massepolster abhängig von</v>
      </c>
      <c r="AL29" s="401"/>
      <c r="AM29" s="401"/>
      <c r="AN29" s="430" t="str">
        <f>IF(AS27=1,AT19,IF(AS27=2,AT19,IF(AS27=3,AT16,IF(AS27=4,AT18,AT17))))</f>
        <v xml:space="preserve">wegabhängig  </v>
      </c>
      <c r="AO29" s="403">
        <f>'1 Injection molding 2K . 3K'!L40</f>
        <v>0</v>
      </c>
      <c r="AP29" s="431" t="str">
        <f>IF(AS27=5," [mm]",IF(AS27=4," [cm³]"," --"))</f>
        <v xml:space="preserve"> [mm]</v>
      </c>
      <c r="AQ29" s="403">
        <f>'1 Injection molding 2K . 3K'!N40</f>
        <v>0</v>
      </c>
      <c r="AR29" s="314"/>
      <c r="AS29" s="314"/>
      <c r="AT29" s="353"/>
      <c r="AU29" s="72"/>
      <c r="AV29" s="720" t="str" cm="1">
        <f t="array" ref="AV29">IF(AW29=J29,"Ü",IF(AW29=M29,"E",X))</f>
        <v>Ü</v>
      </c>
      <c r="AW29" s="721">
        <f t="shared" ref="AW29:AX29" si="5">IF(M29="",J29,M29)</f>
        <v>0</v>
      </c>
      <c r="AX29" s="721">
        <f t="shared" si="5"/>
        <v>0</v>
      </c>
      <c r="AY29" s="315"/>
    </row>
    <row r="30" spans="2:51" ht="19.5" customHeight="1" x14ac:dyDescent="0.2">
      <c r="B30" s="404" t="str">
        <f>HLOOKUP('4 Language'!$B$2,'4 Language'!$C$12:$H$307,50)</f>
        <v>Staudruck (spezifisch)</v>
      </c>
      <c r="C30" s="465"/>
      <c r="D30" s="465"/>
      <c r="E30" s="465"/>
      <c r="F30" s="465"/>
      <c r="G30" s="465"/>
      <c r="H30" s="465"/>
      <c r="I30" s="470" t="s">
        <v>1749</v>
      </c>
      <c r="J30" s="864">
        <f>AP30</f>
        <v>0</v>
      </c>
      <c r="K30" s="864"/>
      <c r="L30" s="470"/>
      <c r="M30" s="875"/>
      <c r="N30" s="875"/>
      <c r="P30" s="881" t="str">
        <f>HLOOKUP('4 Language'!$B$8,'4 Language'!$C$12:$H$307,220)</f>
        <v>Differenz zwischen Nachdruck- und Siegelzeit</v>
      </c>
      <c r="Q30" s="881"/>
      <c r="R30" s="881"/>
      <c r="S30" s="881"/>
      <c r="T30" s="881"/>
      <c r="AH30" s="70"/>
      <c r="AJ30" s="312"/>
      <c r="AK30" s="400" t="str">
        <f>HLOOKUP('4 Language'!$B$8,'4 Language'!$C$12:$H$307,50)</f>
        <v>Staudruck (spezifisch)</v>
      </c>
      <c r="AL30" s="405"/>
      <c r="AM30" s="405"/>
      <c r="AN30" s="405"/>
      <c r="AO30" s="405"/>
      <c r="AP30" s="411">
        <f>'1 Injection molding 2K . 3K'!N32</f>
        <v>0</v>
      </c>
      <c r="AQ30" s="324" t="s">
        <v>1783</v>
      </c>
      <c r="AR30" s="314"/>
      <c r="AS30" s="314"/>
      <c r="AT30" s="353"/>
      <c r="AU30" s="72"/>
      <c r="AV30" s="72"/>
      <c r="AW30" s="72"/>
      <c r="AX30"/>
      <c r="AY30" s="315"/>
    </row>
    <row r="31" spans="2:51" ht="19.5" customHeight="1" x14ac:dyDescent="0.2">
      <c r="B31" s="404" t="str">
        <f>HLOOKUP('4 Language'!$B$2,'4 Language'!$C$12:$H$307,51)</f>
        <v>Schneckendrehzahl</v>
      </c>
      <c r="C31" s="465"/>
      <c r="D31" s="465"/>
      <c r="E31" s="465"/>
      <c r="F31" s="465"/>
      <c r="G31" s="465"/>
      <c r="H31" s="465"/>
      <c r="I31" s="466" t="s">
        <v>1778</v>
      </c>
      <c r="J31" s="870">
        <f>AP31</f>
        <v>0</v>
      </c>
      <c r="K31" s="870"/>
      <c r="L31" s="470"/>
      <c r="M31" s="875"/>
      <c r="N31" s="875"/>
      <c r="P31" s="882"/>
      <c r="Q31" s="882"/>
      <c r="R31" s="882"/>
      <c r="S31" s="882"/>
      <c r="T31" s="882"/>
      <c r="U31" s="256"/>
      <c r="V31" s="257" t="s">
        <v>1738</v>
      </c>
      <c r="W31" s="880">
        <f>J23-J25</f>
        <v>0</v>
      </c>
      <c r="X31" s="880"/>
      <c r="Y31" s="256"/>
      <c r="Z31" s="280"/>
      <c r="AA31" s="256"/>
      <c r="AB31" s="880">
        <f>AW23-AW25</f>
        <v>0</v>
      </c>
      <c r="AC31" s="880"/>
      <c r="AD31" s="266"/>
      <c r="AE31" s="280"/>
      <c r="AF31" s="306"/>
      <c r="AG31" s="306"/>
      <c r="AH31" s="320" t="s">
        <v>1764</v>
      </c>
      <c r="AJ31" s="312"/>
      <c r="AK31" s="400" t="str">
        <f>HLOOKUP('4 Language'!$B$8,'4 Language'!$C$12:$H$307,51)</f>
        <v>Schneckendrehzahl</v>
      </c>
      <c r="AL31" s="405"/>
      <c r="AM31" s="405"/>
      <c r="AN31" s="405"/>
      <c r="AO31" s="413">
        <f>'1 Injection molding 2K . 3K'!L28</f>
        <v>0</v>
      </c>
      <c r="AP31" s="344">
        <f>'1 Injection molding 2K . 3K'!N28</f>
        <v>0</v>
      </c>
      <c r="AQ31" s="324" t="s">
        <v>1786</v>
      </c>
      <c r="AR31" s="314"/>
      <c r="AS31" s="314"/>
      <c r="AT31" s="314"/>
      <c r="AU31" s="72"/>
      <c r="AV31" s="720" t="str" cm="1">
        <f t="array" ref="AV31">IF(AW31=J31,"Ü",IF(AW31=M31,"E",X))</f>
        <v>Ü</v>
      </c>
      <c r="AW31" s="721">
        <f t="shared" ref="AW31:AW32" si="6">IF(M31="",J31,M31)</f>
        <v>0</v>
      </c>
      <c r="AX31"/>
      <c r="AY31" s="315"/>
    </row>
    <row r="32" spans="2:51" ht="19.5" customHeight="1" x14ac:dyDescent="0.2">
      <c r="B32" s="400" t="str">
        <f>HLOOKUP('4 Language'!$B$2,'4 Language'!$C$12:$H$307,53)</f>
        <v>Dosiergeschwindigkeit</v>
      </c>
      <c r="C32" s="463"/>
      <c r="D32" s="463"/>
      <c r="E32" s="463"/>
      <c r="F32" s="463"/>
      <c r="G32" s="482"/>
      <c r="H32" s="463"/>
      <c r="I32" s="464" t="s">
        <v>1750</v>
      </c>
      <c r="J32" s="887">
        <f>IF(ISERROR((J13*PI())*J31*0.00001666),"--",(J13*PI())*J31*0.00001666)</f>
        <v>0</v>
      </c>
      <c r="K32" s="887"/>
      <c r="L32" s="473"/>
      <c r="M32" s="888">
        <f>IF(ISERROR((AW13*PI())*AW31*0.00001666),"--",(AW13*PI())*AW31*0.00001666)</f>
        <v>0</v>
      </c>
      <c r="N32" s="888"/>
      <c r="P32" s="881" t="str">
        <f>HLOOKUP('4 Language'!$B$8,'4 Language'!$C$12:$H$307,221)&amp;"  [+/-]"</f>
        <v>Verhältnis Einspritzzeit zur angegebenen Toleranz  [+/-]</v>
      </c>
      <c r="Q32" s="881"/>
      <c r="R32" s="881"/>
      <c r="S32" s="881"/>
      <c r="T32" s="881"/>
      <c r="AJ32" s="312"/>
      <c r="AK32" s="398"/>
      <c r="AL32" s="72"/>
      <c r="AM32" s="72"/>
      <c r="AN32" s="314"/>
      <c r="AO32" s="314"/>
      <c r="AP32" s="314"/>
      <c r="AQ32" s="399"/>
      <c r="AR32" s="314"/>
      <c r="AS32" s="314"/>
      <c r="AT32" s="314"/>
      <c r="AU32" s="72"/>
      <c r="AV32" s="72"/>
      <c r="AW32" s="721">
        <f t="shared" si="6"/>
        <v>0</v>
      </c>
      <c r="AX32"/>
      <c r="AY32" s="315"/>
    </row>
    <row r="33" spans="2:51" ht="19.5" customHeight="1" x14ac:dyDescent="0.2">
      <c r="B33" s="400" t="str">
        <f>HLOOKUP('4 Language'!$B$2,'4 Language'!$C$12:$H$307,81)</f>
        <v>Dichte (Feststoff)</v>
      </c>
      <c r="C33" s="463"/>
      <c r="D33" s="463"/>
      <c r="E33" s="463"/>
      <c r="F33" s="463"/>
      <c r="G33" s="463"/>
      <c r="H33" s="463"/>
      <c r="I33" s="464" t="s">
        <v>1751</v>
      </c>
      <c r="J33" s="871" t="str">
        <f t="shared" ref="J33:J42" si="7">AP33</f>
        <v>select</v>
      </c>
      <c r="K33" s="871"/>
      <c r="L33" s="473"/>
      <c r="M33" s="872"/>
      <c r="N33" s="872"/>
      <c r="P33" s="882"/>
      <c r="Q33" s="882"/>
      <c r="R33" s="882"/>
      <c r="S33" s="882"/>
      <c r="T33" s="882"/>
      <c r="U33" s="256"/>
      <c r="V33" s="257" t="s">
        <v>1736</v>
      </c>
      <c r="W33" s="880" t="str">
        <f>IF(ISERROR(K22/J22*100),"--",K22/J22*100)</f>
        <v>--</v>
      </c>
      <c r="X33" s="880"/>
      <c r="Y33" s="266"/>
      <c r="Z33" s="280"/>
      <c r="AA33" s="266"/>
      <c r="AB33" s="880" t="str">
        <f>IF(ISERROR(AX22/AW22*100),"--",AX22/AW22*100)</f>
        <v>--</v>
      </c>
      <c r="AC33" s="880"/>
      <c r="AD33" s="266"/>
      <c r="AE33" s="280"/>
      <c r="AH33" s="320" t="s">
        <v>1765</v>
      </c>
      <c r="AJ33" s="312"/>
      <c r="AK33" s="400" t="str">
        <f>HLOOKUP('4 Language'!$B$8,'4 Language'!$C$12:$H$307,81)</f>
        <v>Dichte (Feststoff)</v>
      </c>
      <c r="AL33" s="406"/>
      <c r="AM33" s="406"/>
      <c r="AN33" s="400"/>
      <c r="AO33" s="407"/>
      <c r="AP33" s="412" t="str">
        <f>'1 Injection molding 2K . 3K'!AN18</f>
        <v>select</v>
      </c>
      <c r="AQ33" s="319" t="s">
        <v>1784</v>
      </c>
      <c r="AR33" s="314"/>
      <c r="AS33" s="314"/>
      <c r="AT33" s="314"/>
      <c r="AU33" s="72"/>
      <c r="AV33" s="72"/>
      <c r="AW33" s="72"/>
      <c r="AX33"/>
      <c r="AY33" s="315"/>
    </row>
    <row r="34" spans="2:51" ht="19.5" customHeight="1" x14ac:dyDescent="0.2">
      <c r="B34" s="404" t="str">
        <f>HLOOKUP('4 Language'!$B$2,'4 Language'!$C$12:$H$307,194)</f>
        <v>Schmelzedichte (Auswahl)</v>
      </c>
      <c r="C34" s="465"/>
      <c r="D34" s="465"/>
      <c r="E34" s="465"/>
      <c r="F34" s="465"/>
      <c r="G34" s="465"/>
      <c r="H34" s="465"/>
      <c r="I34" s="466" t="s">
        <v>1751</v>
      </c>
      <c r="J34" s="873" t="str">
        <f t="shared" si="7"/>
        <v>select</v>
      </c>
      <c r="K34" s="873"/>
      <c r="L34" s="470"/>
      <c r="M34" s="874"/>
      <c r="N34" s="874"/>
      <c r="P34" s="881" t="str">
        <f>HLOOKUP('4 Language'!$B$8,'4 Language'!$C$12:$H$307,222)&amp;"  [+/-]"</f>
        <v>Verhältnis Massepolster zur angegebenen Toleranz  [+/-]</v>
      </c>
      <c r="Q34" s="881"/>
      <c r="R34" s="881"/>
      <c r="S34" s="881"/>
      <c r="T34" s="881"/>
      <c r="AH34" s="70"/>
      <c r="AJ34" s="312"/>
      <c r="AK34" s="400" t="str">
        <f>HLOOKUP('4 Language'!$B$8,'4 Language'!$C$12:$H$307,82)</f>
        <v>Dichte (Schmelze) über Auswahl "Rohstofftyp"</v>
      </c>
      <c r="AL34" s="408"/>
      <c r="AM34" s="408"/>
      <c r="AN34" s="404"/>
      <c r="AO34" s="409"/>
      <c r="AP34" s="328" t="str">
        <f>'1 Injection molding 2K . 3K'!AM18</f>
        <v>select</v>
      </c>
      <c r="AQ34" s="324" t="s">
        <v>1784</v>
      </c>
      <c r="AR34" s="314"/>
      <c r="AS34" s="314"/>
      <c r="AT34" s="314"/>
      <c r="AU34" s="72"/>
      <c r="AV34" s="720" t="str" cm="1">
        <f t="array" ref="AV34">IF(AW34=J34,"Ü",IF(AW34=M34,"E",X))</f>
        <v>Ü</v>
      </c>
      <c r="AW34" s="723" t="str">
        <f t="shared" ref="AW34:AW37" si="8">IF(M34="",J34,M34)</f>
        <v>select</v>
      </c>
      <c r="AX34"/>
      <c r="AY34" s="315"/>
    </row>
    <row r="35" spans="2:51" ht="19.5" customHeight="1" x14ac:dyDescent="0.2">
      <c r="B35" s="404" t="str">
        <f>HLOOKUP('4 Language'!$B$2,'4 Language'!$C$12:$H$307,74)</f>
        <v>Schussgewicht  FS / EMPB   [inkl. Anguss]</v>
      </c>
      <c r="C35" s="465"/>
      <c r="D35" s="465"/>
      <c r="E35" s="465"/>
      <c r="F35" s="465"/>
      <c r="G35" s="465"/>
      <c r="H35" s="465"/>
      <c r="I35" s="466" t="s">
        <v>1752</v>
      </c>
      <c r="J35" s="864">
        <f t="shared" si="7"/>
        <v>0</v>
      </c>
      <c r="K35" s="864"/>
      <c r="L35" s="470"/>
      <c r="M35" s="865"/>
      <c r="N35" s="865"/>
      <c r="P35" s="882"/>
      <c r="Q35" s="882"/>
      <c r="R35" s="882"/>
      <c r="S35" s="882"/>
      <c r="T35" s="882"/>
      <c r="U35" s="256"/>
      <c r="V35" s="257" t="s">
        <v>1736</v>
      </c>
      <c r="W35" s="880" t="str">
        <f>IF(ISERROR(K29/J29*100),"--",K29/J29*100)</f>
        <v>--</v>
      </c>
      <c r="X35" s="880"/>
      <c r="Y35" s="281"/>
      <c r="Z35" s="280"/>
      <c r="AA35" s="281"/>
      <c r="AB35" s="880" t="str">
        <f>IF(ISERROR(AX29/AW29*100),"--",AX29/AW29*100)</f>
        <v>--</v>
      </c>
      <c r="AC35" s="880"/>
      <c r="AD35" s="266"/>
      <c r="AE35" s="280"/>
      <c r="AF35" s="306"/>
      <c r="AG35" s="306"/>
      <c r="AH35" s="320" t="s">
        <v>1766</v>
      </c>
      <c r="AJ35" s="312"/>
      <c r="AK35" s="400" t="str">
        <f>HLOOKUP('4 Language'!$B$8,'4 Language'!$C$12:$H$307,74)</f>
        <v>Schussgewicht  FS / EMPB   [inkl. Anguss]</v>
      </c>
      <c r="AL35" s="410"/>
      <c r="AM35" s="410"/>
      <c r="AN35" s="410"/>
      <c r="AO35" s="410"/>
      <c r="AP35" s="328">
        <f>'1 Injection molding 2K . 3K'!N21</f>
        <v>0</v>
      </c>
      <c r="AQ35" s="324" t="s">
        <v>1785</v>
      </c>
      <c r="AR35" s="314"/>
      <c r="AS35" s="314"/>
      <c r="AT35" s="314"/>
      <c r="AU35" s="72"/>
      <c r="AV35" s="720" t="str" cm="1">
        <f t="array" ref="AV35">IF(AW35=J35,"Ü",IF(AW35=M35,"E",X))</f>
        <v>Ü</v>
      </c>
      <c r="AW35" s="721">
        <f t="shared" si="8"/>
        <v>0</v>
      </c>
      <c r="AX35"/>
      <c r="AY35" s="315"/>
    </row>
    <row r="36" spans="2:51" ht="19.5" customHeight="1" x14ac:dyDescent="0.2">
      <c r="B36" s="480" t="str">
        <f>HLOOKUP('4 Language'!$B$2,'4 Language'!$C$12:$H$307,196)</f>
        <v>Teilegewicht ohne Nachdruck</v>
      </c>
      <c r="C36" s="481"/>
      <c r="D36" s="481"/>
      <c r="E36" s="481"/>
      <c r="F36" s="481"/>
      <c r="G36" s="481"/>
      <c r="H36" s="480" t="s">
        <v>1753</v>
      </c>
      <c r="I36" s="466" t="s">
        <v>1752</v>
      </c>
      <c r="J36" s="866" t="str">
        <f t="shared" si="7"/>
        <v>--</v>
      </c>
      <c r="K36" s="866"/>
      <c r="L36" s="470"/>
      <c r="M36" s="885" t="s">
        <v>234</v>
      </c>
      <c r="N36" s="886"/>
      <c r="O36" s="356"/>
      <c r="AJ36" s="312"/>
      <c r="AK36" s="433" t="str">
        <f>HLOOKUP('4 Language'!$B$8,'4 Language'!$C$12:$H$307,75)</f>
        <v>Teilegewicht ohne Nachdruck je Kavität (gewogen)</v>
      </c>
      <c r="AL36" s="408"/>
      <c r="AM36" s="408"/>
      <c r="AN36" s="408"/>
      <c r="AO36" s="434" t="s">
        <v>1753</v>
      </c>
      <c r="AP36" s="432" t="s">
        <v>234</v>
      </c>
      <c r="AQ36" s="324" t="s">
        <v>1785</v>
      </c>
      <c r="AR36" s="314" t="s">
        <v>1787</v>
      </c>
      <c r="AS36" s="314"/>
      <c r="AT36" s="314"/>
      <c r="AU36" s="72"/>
      <c r="AV36" s="720" t="str" cm="1">
        <f t="array" ref="AV36">IF(AW36=J36,"Ü",IF(AW36=M36,"E",X))</f>
        <v>Ü</v>
      </c>
      <c r="AW36" s="723" t="str">
        <f t="shared" si="8"/>
        <v>--</v>
      </c>
      <c r="AX36"/>
      <c r="AY36" s="315"/>
    </row>
    <row r="37" spans="2:51" ht="19.5" customHeight="1" x14ac:dyDescent="0.2">
      <c r="B37" s="480" t="str">
        <f>HLOOKUP('4 Language'!$B$2,'4 Language'!$C$12:$H$307,196)</f>
        <v>Teilegewicht ohne Nachdruck</v>
      </c>
      <c r="C37" s="481"/>
      <c r="D37" s="481"/>
      <c r="E37" s="481"/>
      <c r="F37" s="481"/>
      <c r="G37" s="481"/>
      <c r="H37" s="480" t="s">
        <v>1754</v>
      </c>
      <c r="I37" s="466" t="s">
        <v>1752</v>
      </c>
      <c r="J37" s="866" t="str">
        <f t="shared" si="7"/>
        <v>--</v>
      </c>
      <c r="K37" s="866"/>
      <c r="L37" s="470"/>
      <c r="M37" s="885" t="s">
        <v>234</v>
      </c>
      <c r="N37" s="886"/>
      <c r="O37" s="356"/>
      <c r="P37" s="255" t="str">
        <f>HLOOKUP('4 Language'!$B$8,'4 Language'!$C$12:$H$307,223)</f>
        <v>Einspritzgeschwindigkeit</v>
      </c>
      <c r="Q37" s="256"/>
      <c r="R37" s="256"/>
      <c r="S37" s="256"/>
      <c r="T37" s="256"/>
      <c r="U37" s="256"/>
      <c r="V37" s="257" t="s">
        <v>1739</v>
      </c>
      <c r="W37" s="880" t="str">
        <f>IF(ISERROR(W8/J22),"--",W8/J22)</f>
        <v>--</v>
      </c>
      <c r="X37" s="880"/>
      <c r="Y37" s="266"/>
      <c r="Z37" s="256"/>
      <c r="AA37" s="266"/>
      <c r="AB37" s="880" t="str">
        <f>IF(ISERROR(AB8/AW22),"--",AB8/AW22)</f>
        <v>--</v>
      </c>
      <c r="AC37" s="880"/>
      <c r="AD37" s="266"/>
      <c r="AE37" s="256"/>
      <c r="AJ37" s="312"/>
      <c r="AK37" s="433" t="str">
        <f>HLOOKUP('4 Language'!$B$8,'4 Language'!$C$12:$H$307,75)</f>
        <v>Teilegewicht ohne Nachdruck je Kavität (gewogen)</v>
      </c>
      <c r="AL37" s="408"/>
      <c r="AM37" s="408"/>
      <c r="AN37" s="408"/>
      <c r="AO37" s="434" t="s">
        <v>1754</v>
      </c>
      <c r="AP37" s="432" t="s">
        <v>234</v>
      </c>
      <c r="AQ37" s="324" t="s">
        <v>1785</v>
      </c>
      <c r="AR37" s="314" t="s">
        <v>1787</v>
      </c>
      <c r="AS37" s="314"/>
      <c r="AT37" s="314"/>
      <c r="AU37" s="72"/>
      <c r="AV37" s="720" t="str" cm="1">
        <f t="array" ref="AV37">IF(AW37=J37,"Ü",IF(AW37=M37,"E",X))</f>
        <v>Ü</v>
      </c>
      <c r="AW37" s="723" t="str">
        <f t="shared" si="8"/>
        <v>--</v>
      </c>
      <c r="AX37"/>
      <c r="AY37" s="315"/>
    </row>
    <row r="38" spans="2:51" ht="19.5" customHeight="1" x14ac:dyDescent="0.2">
      <c r="B38" s="404" t="str">
        <f>HLOOKUP('4 Language'!$B$2,'4 Language'!$C$12:$H$307,197)</f>
        <v>Teilegewicht mit Nachdruck</v>
      </c>
      <c r="C38" s="465"/>
      <c r="D38" s="465"/>
      <c r="E38" s="465"/>
      <c r="F38" s="465"/>
      <c r="G38" s="465"/>
      <c r="H38" s="404" t="s">
        <v>1753</v>
      </c>
      <c r="I38" s="466" t="s">
        <v>1752</v>
      </c>
      <c r="J38" s="864">
        <f t="shared" si="7"/>
        <v>0</v>
      </c>
      <c r="K38" s="864"/>
      <c r="L38" s="470"/>
      <c r="M38" s="878"/>
      <c r="N38" s="878"/>
      <c r="O38" s="356"/>
      <c r="P38" s="258" t="str">
        <f>HLOOKUP('4 Language'!$B$8,'4 Language'!$C$12:$H$307,224)</f>
        <v>mit Verarbeitungsempfehlung des Herstellers zu vergleichen</v>
      </c>
      <c r="AH38" s="70"/>
      <c r="AJ38" s="312"/>
      <c r="AK38" s="400" t="str">
        <f>HLOOKUP('4 Language'!$B$8,'4 Language'!$C$12:$H$307,76)</f>
        <v>Teilegewicht je Kavität (gewogen)</v>
      </c>
      <c r="AL38" s="404"/>
      <c r="AM38" s="404"/>
      <c r="AN38" s="404"/>
      <c r="AO38" s="404" t="s">
        <v>1753</v>
      </c>
      <c r="AP38" s="328">
        <f>'1 Injection molding 2K . 3K'!L55</f>
        <v>0</v>
      </c>
      <c r="AQ38" s="324" t="s">
        <v>1785</v>
      </c>
      <c r="AR38" s="314"/>
      <c r="AS38" s="314"/>
      <c r="AT38" s="314"/>
      <c r="AU38" s="72"/>
      <c r="AV38" s="720" t="str" cm="1">
        <f t="array" ref="AV38">IF(AW38=J38,"Ü",IF(AW38=M38,"E",X))</f>
        <v>Ü</v>
      </c>
      <c r="AW38" s="723">
        <f>IF(M38="",J38,M38)</f>
        <v>0</v>
      </c>
      <c r="AX38"/>
      <c r="AY38" s="315"/>
    </row>
    <row r="39" spans="2:51" ht="19.5" customHeight="1" x14ac:dyDescent="0.2">
      <c r="B39" s="404" t="str">
        <f>HLOOKUP('4 Language'!$B$2,'4 Language'!$C$12:$H$307,197)</f>
        <v>Teilegewicht mit Nachdruck</v>
      </c>
      <c r="C39" s="465"/>
      <c r="D39" s="465"/>
      <c r="E39" s="465"/>
      <c r="F39" s="465"/>
      <c r="G39" s="465"/>
      <c r="H39" s="404" t="s">
        <v>1754</v>
      </c>
      <c r="I39" s="466" t="s">
        <v>1752</v>
      </c>
      <c r="J39" s="864">
        <f t="shared" si="7"/>
        <v>0</v>
      </c>
      <c r="K39" s="864"/>
      <c r="L39" s="470"/>
      <c r="M39" s="865"/>
      <c r="N39" s="865"/>
      <c r="O39" s="356"/>
      <c r="P39" s="881" t="str">
        <f>HLOOKUP('4 Language'!$B$8,'4 Language'!$C$12:$H$307,225)</f>
        <v>Schließkraftberechnung entsprechend Eingabe</v>
      </c>
      <c r="Q39" s="881"/>
      <c r="R39" s="881"/>
      <c r="S39" s="881"/>
      <c r="T39" s="881"/>
      <c r="AH39" s="70"/>
      <c r="AJ39" s="312"/>
      <c r="AK39" s="400" t="str">
        <f>HLOOKUP('4 Language'!$B$8,'4 Language'!$C$12:$H$307,76)</f>
        <v>Teilegewicht je Kavität (gewogen)</v>
      </c>
      <c r="AL39" s="409"/>
      <c r="AM39" s="409"/>
      <c r="AN39" s="409"/>
      <c r="AO39" s="408" t="s">
        <v>1754</v>
      </c>
      <c r="AP39" s="328">
        <f>'1 Injection molding 2K . 3K'!N55</f>
        <v>0</v>
      </c>
      <c r="AQ39" s="324" t="s">
        <v>1785</v>
      </c>
      <c r="AR39" s="314"/>
      <c r="AS39" s="314"/>
      <c r="AT39" s="314"/>
      <c r="AU39" s="72"/>
      <c r="AV39" s="720" t="str" cm="1">
        <f t="array" ref="AV39">IF(AW39=J39,"Ü",IF(AW39=M39,"E",X))</f>
        <v>Ü</v>
      </c>
      <c r="AW39" s="723">
        <f>IF(M39="",J39,M39)</f>
        <v>0</v>
      </c>
      <c r="AX39"/>
      <c r="AY39" s="315"/>
    </row>
    <row r="40" spans="2:51" ht="19.5" customHeight="1" x14ac:dyDescent="0.2">
      <c r="B40" s="404" t="str">
        <f>HLOOKUP('4 Language'!$B$8,'4 Language'!$C$12:$H$307,68)</f>
        <v>Eingestellter spezifischer Spritzdruck</v>
      </c>
      <c r="C40" s="465"/>
      <c r="D40" s="465"/>
      <c r="E40" s="465"/>
      <c r="F40" s="465"/>
      <c r="G40" s="465"/>
      <c r="H40" s="404"/>
      <c r="I40" s="470" t="s">
        <v>1749</v>
      </c>
      <c r="J40" s="870">
        <f t="shared" si="7"/>
        <v>0</v>
      </c>
      <c r="K40" s="870"/>
      <c r="L40" s="470"/>
      <c r="M40" s="877"/>
      <c r="N40" s="877"/>
      <c r="O40" s="356"/>
      <c r="P40" s="882"/>
      <c r="Q40" s="882"/>
      <c r="R40" s="882"/>
      <c r="S40" s="882"/>
      <c r="T40" s="882"/>
      <c r="U40" s="256"/>
      <c r="V40" s="282" t="s">
        <v>1740</v>
      </c>
      <c r="W40" s="898">
        <f>IF(ISERROR(J44*J45+J44*J46%),"--",J44*J45+J44*J46%)</f>
        <v>0</v>
      </c>
      <c r="X40" s="898"/>
      <c r="Y40" s="283"/>
      <c r="Z40" s="284"/>
      <c r="AA40" s="283"/>
      <c r="AB40" s="898">
        <f>IF(ISERROR(M44*AW45+M44*AW46%),"--",M44*AW45+M44*AW46%)</f>
        <v>0</v>
      </c>
      <c r="AC40" s="898"/>
      <c r="AD40" s="283"/>
      <c r="AE40" s="284"/>
      <c r="AF40" s="306"/>
      <c r="AG40" s="306"/>
      <c r="AH40" s="320" t="s">
        <v>1767</v>
      </c>
      <c r="AJ40" s="312"/>
      <c r="AK40" s="400" t="str">
        <f>HLOOKUP('4 Language'!$B$8,'4 Language'!$C$12:$H$307,68)</f>
        <v>Eingestellter spezifischer Spritzdruck</v>
      </c>
      <c r="AL40" s="409"/>
      <c r="AM40" s="409"/>
      <c r="AN40" s="409"/>
      <c r="AO40" s="409"/>
      <c r="AP40" s="328">
        <f>'1 Injection molding 2K . 3K'!N36</f>
        <v>0</v>
      </c>
      <c r="AQ40" s="324" t="s">
        <v>1783</v>
      </c>
      <c r="AR40" s="314"/>
      <c r="AS40" s="314"/>
      <c r="AT40" s="314"/>
      <c r="AU40" s="72"/>
      <c r="AV40" s="720" t="str" cm="1">
        <f t="array" ref="AV40">IF(AW40=J40,"Ü",IF(AW40=M40,"E",X))</f>
        <v>Ü</v>
      </c>
      <c r="AW40" s="723">
        <f t="shared" ref="AW40" si="9">IF(M40="",J40,M40)</f>
        <v>0</v>
      </c>
      <c r="AX40"/>
      <c r="AY40" s="315"/>
    </row>
    <row r="41" spans="2:51" ht="19.5" customHeight="1" x14ac:dyDescent="0.2">
      <c r="B41" s="404" t="str">
        <f>HLOOKUP('4 Language'!$B$8,'4 Language'!$C$12:$H$307,69)</f>
        <v>Abgelesener spezifischer Spritzdruck</v>
      </c>
      <c r="C41" s="465"/>
      <c r="D41" s="465"/>
      <c r="E41" s="465"/>
      <c r="F41" s="465"/>
      <c r="G41" s="465"/>
      <c r="H41" s="404"/>
      <c r="I41" s="470" t="s">
        <v>1749</v>
      </c>
      <c r="J41" s="870">
        <f t="shared" si="7"/>
        <v>0</v>
      </c>
      <c r="K41" s="870"/>
      <c r="L41" s="470"/>
      <c r="M41" s="877"/>
      <c r="N41" s="877"/>
      <c r="O41" s="269"/>
      <c r="P41" s="258" t="str">
        <f>HLOOKUP('4 Language'!$B$8,'4 Language'!$C$12:$H$307,226)</f>
        <v>Auf Basis von projizierter Fläche und Nachdruck</v>
      </c>
      <c r="AJ41" s="312"/>
      <c r="AK41" s="400" t="str">
        <f>HLOOKUP('4 Language'!$B$8,'4 Language'!$C$12:$H$307,69)</f>
        <v>Abgelesener spezifischer Spritzdruck</v>
      </c>
      <c r="AL41" s="409"/>
      <c r="AM41" s="409"/>
      <c r="AN41" s="409"/>
      <c r="AO41" s="409"/>
      <c r="AP41" s="328">
        <f>'1 Injection molding 2K . 3K'!N37</f>
        <v>0</v>
      </c>
      <c r="AQ41" s="324" t="s">
        <v>1783</v>
      </c>
      <c r="AR41" s="314"/>
      <c r="AS41" s="314"/>
      <c r="AT41" s="314"/>
      <c r="AU41" s="72"/>
      <c r="AV41" s="72"/>
      <c r="AW41" s="72"/>
      <c r="AX41"/>
      <c r="AY41" s="315"/>
    </row>
    <row r="42" spans="2:51" ht="19.5" customHeight="1" x14ac:dyDescent="0.2">
      <c r="B42" s="404" t="str">
        <f>HLOOKUP('4 Language'!$B$8,'4 Language'!$C$12:$H$307,70)</f>
        <v>Maximal möglicher spezifischer Spritzdruck</v>
      </c>
      <c r="C42" s="465"/>
      <c r="D42" s="465"/>
      <c r="E42" s="465"/>
      <c r="F42" s="465"/>
      <c r="G42" s="465"/>
      <c r="H42" s="404"/>
      <c r="I42" s="470" t="s">
        <v>1749</v>
      </c>
      <c r="J42" s="870">
        <f t="shared" si="7"/>
        <v>0</v>
      </c>
      <c r="K42" s="870"/>
      <c r="L42" s="470"/>
      <c r="M42" s="884"/>
      <c r="N42" s="884"/>
      <c r="O42" s="269"/>
      <c r="P42" s="881" t="str">
        <f>HLOOKUP('4 Language'!$B$8,'4 Language'!$C$12:$H$307,227)</f>
        <v>Verhältnis berechneter zu eingestellter Schließkraft</v>
      </c>
      <c r="Q42" s="881"/>
      <c r="R42" s="881"/>
      <c r="S42" s="881"/>
      <c r="T42" s="881"/>
      <c r="AA42" s="285"/>
      <c r="AC42" s="285"/>
      <c r="AE42" s="285"/>
      <c r="AF42" s="306"/>
      <c r="AG42" s="306"/>
      <c r="AH42" s="70"/>
      <c r="AJ42" s="312"/>
      <c r="AK42" s="400" t="str">
        <f>HLOOKUP('4 Language'!$B$8,'4 Language'!$C$12:$H$307,70)</f>
        <v>Maximal möglicher spezifischer Spritzdruck</v>
      </c>
      <c r="AL42" s="409"/>
      <c r="AM42" s="409"/>
      <c r="AN42" s="409"/>
      <c r="AO42" s="409"/>
      <c r="AP42" s="328">
        <f>'1 Injection molding 2K . 3K'!N38</f>
        <v>0</v>
      </c>
      <c r="AQ42" s="324" t="s">
        <v>1783</v>
      </c>
      <c r="AR42" s="314"/>
      <c r="AS42" s="314"/>
      <c r="AT42" s="314"/>
      <c r="AU42" s="72"/>
      <c r="AV42" s="72"/>
      <c r="AW42" s="72"/>
      <c r="AX42"/>
      <c r="AY42" s="315"/>
    </row>
    <row r="43" spans="2:51" ht="19.5" customHeight="1" x14ac:dyDescent="0.2">
      <c r="O43" s="356"/>
      <c r="P43" s="882"/>
      <c r="Q43" s="882"/>
      <c r="R43" s="882"/>
      <c r="S43" s="882"/>
      <c r="T43" s="882"/>
      <c r="U43" s="256"/>
      <c r="V43" s="282" t="s">
        <v>1736</v>
      </c>
      <c r="W43" s="899" t="str">
        <f>IF(ISERROR(W40/J11*100),"--",W40/J11*100)</f>
        <v>--</v>
      </c>
      <c r="X43" s="899"/>
      <c r="Y43" s="286"/>
      <c r="Z43" s="284"/>
      <c r="AA43" s="287"/>
      <c r="AB43" s="899" t="str">
        <f>IF(ISERROR(AB40/AW11*100),"--",AB40/AW11*100)</f>
        <v>--</v>
      </c>
      <c r="AC43" s="899"/>
      <c r="AD43" s="283"/>
      <c r="AE43" s="284"/>
      <c r="AF43" s="357"/>
      <c r="AG43" s="357"/>
      <c r="AH43" s="320" t="s">
        <v>1768</v>
      </c>
      <c r="AJ43" s="312"/>
      <c r="AK43" s="730" t="str">
        <f>HLOOKUP('4 Language'!$B$8,'4 Language'!$C$12:$H$307,173)</f>
        <v>Zeitpauschale für Werkzeugbewegungen</v>
      </c>
      <c r="AL43" s="731"/>
      <c r="AM43" s="731"/>
      <c r="AN43" s="732"/>
      <c r="AO43" s="732"/>
      <c r="AP43" s="733"/>
      <c r="AQ43" s="734" t="s">
        <v>1776</v>
      </c>
      <c r="AR43" s="314" t="s">
        <v>1788</v>
      </c>
      <c r="AS43" s="314"/>
      <c r="AT43" s="314"/>
      <c r="AU43" s="72"/>
      <c r="AV43" s="314"/>
      <c r="AX43"/>
      <c r="AY43" s="315"/>
    </row>
    <row r="44" spans="2:51" ht="19.5" customHeight="1" x14ac:dyDescent="0.2">
      <c r="B44" s="400" t="str">
        <f>HLOOKUP('4 Language'!$B$8,'4 Language'!$C$12:$H$307,203)</f>
        <v>Benötigte Schließkraft je Kavität</v>
      </c>
      <c r="C44" s="463"/>
      <c r="D44" s="463"/>
      <c r="E44" s="463"/>
      <c r="F44" s="463"/>
      <c r="G44" s="463"/>
      <c r="H44" s="400"/>
      <c r="I44" s="464" t="s">
        <v>1740</v>
      </c>
      <c r="J44" s="900">
        <f>J12*J24/100</f>
        <v>0</v>
      </c>
      <c r="K44" s="900"/>
      <c r="L44" s="400"/>
      <c r="M44" s="900">
        <f>AW12*AW24/100</f>
        <v>0</v>
      </c>
      <c r="N44" s="900"/>
      <c r="O44" s="356"/>
      <c r="P44" s="258" t="str">
        <f>HLOOKUP('4 Language'!$B$8,'4 Language'!$C$12:$H$307,229)</f>
        <v>Eingabe links beachten</v>
      </c>
      <c r="Q44" s="288"/>
      <c r="R44" s="288"/>
      <c r="S44" s="288"/>
      <c r="T44" s="288"/>
      <c r="U44" s="288"/>
      <c r="V44" s="288"/>
      <c r="W44" s="288"/>
      <c r="X44" s="288"/>
      <c r="Y44" s="288"/>
      <c r="Z44" s="288"/>
      <c r="AA44" s="288"/>
      <c r="AC44" s="288"/>
      <c r="AE44" s="288"/>
      <c r="AF44" s="306"/>
      <c r="AG44" s="306"/>
      <c r="AH44" s="70"/>
      <c r="AJ44" s="312"/>
      <c r="AK44" s="398"/>
      <c r="AL44" s="72"/>
      <c r="AM44" s="72"/>
      <c r="AN44" s="314"/>
      <c r="AO44" s="314"/>
      <c r="AP44" s="314"/>
      <c r="AQ44" s="314"/>
      <c r="AR44" s="314"/>
      <c r="AS44" s="314"/>
      <c r="AT44" s="314"/>
      <c r="AU44" s="314"/>
      <c r="AV44" s="314"/>
      <c r="AY44" s="315"/>
    </row>
    <row r="45" spans="2:51" ht="19.5" customHeight="1" x14ac:dyDescent="0.2">
      <c r="B45" s="404" t="str">
        <f>HLOOKUP('4 Language'!$B$8,'4 Language'!$C$12:$H$307,205)</f>
        <v>Gesamtzahl der Kavitäten</v>
      </c>
      <c r="C45" s="465"/>
      <c r="D45" s="465"/>
      <c r="E45" s="465"/>
      <c r="F45" s="465"/>
      <c r="G45" s="465"/>
      <c r="H45" s="404"/>
      <c r="I45" s="466"/>
      <c r="J45" s="876">
        <f>AP45</f>
        <v>0</v>
      </c>
      <c r="K45" s="876"/>
      <c r="L45" s="404"/>
      <c r="M45" s="877"/>
      <c r="N45" s="877"/>
      <c r="O45" s="356"/>
      <c r="P45" s="881" t="str">
        <f>HLOOKUP('4 Language'!$B$8,'4 Language'!$C$12:$H$307,228)</f>
        <v>Verhältnis berechneter zu maximaler Schließkraft</v>
      </c>
      <c r="Q45" s="881"/>
      <c r="R45" s="881"/>
      <c r="S45" s="881"/>
      <c r="T45" s="881"/>
      <c r="U45" s="276"/>
      <c r="V45" s="276"/>
      <c r="W45" s="276"/>
      <c r="X45" s="277"/>
      <c r="Y45" s="277"/>
      <c r="Z45" s="277"/>
      <c r="AA45" s="289"/>
      <c r="AF45" s="306"/>
      <c r="AG45" s="306"/>
      <c r="AJ45" s="726"/>
      <c r="AK45" s="400" t="str">
        <f>HLOOKUP('4 Language'!$B$8,'4 Language'!$C$12:$H$307,205)</f>
        <v>Gesamtzahl der Kavitäten</v>
      </c>
      <c r="AL45" s="406"/>
      <c r="AM45" s="406"/>
      <c r="AN45" s="751"/>
      <c r="AO45" s="751"/>
      <c r="AP45" s="323">
        <f>'1 Injection molding 2K . 3K'!AM17</f>
        <v>0</v>
      </c>
      <c r="AQ45" s="751"/>
      <c r="AU45" s="314"/>
      <c r="AV45" s="720"/>
      <c r="AW45" s="721">
        <f>IF(M45="",J45,M45)</f>
        <v>0</v>
      </c>
      <c r="AY45" s="315"/>
    </row>
    <row r="46" spans="2:51" ht="19.5" customHeight="1" x14ac:dyDescent="0.2">
      <c r="B46" s="404" t="str">
        <f>HLOOKUP('4 Language'!$B$8,'4 Language'!$C$12:$H$307,204)&amp;" "&amp;HLOOKUP('4 Language'!$B$8,'4 Language'!$C$12:$H$307,199)</f>
        <v>Eingabe: Zuschlag auf Zuhaltung</v>
      </c>
      <c r="C46" s="465"/>
      <c r="D46" s="465"/>
      <c r="E46" s="465"/>
      <c r="F46" s="465"/>
      <c r="G46" s="465"/>
      <c r="H46" s="404"/>
      <c r="I46" s="466" t="s">
        <v>1736</v>
      </c>
      <c r="J46" s="883">
        <v>10</v>
      </c>
      <c r="K46" s="883"/>
      <c r="L46" s="404"/>
      <c r="M46" s="884"/>
      <c r="N46" s="884"/>
      <c r="O46" s="356"/>
      <c r="P46" s="882"/>
      <c r="Q46" s="882"/>
      <c r="R46" s="882"/>
      <c r="S46" s="882"/>
      <c r="T46" s="882"/>
      <c r="U46" s="256"/>
      <c r="V46" s="282" t="s">
        <v>1736</v>
      </c>
      <c r="W46" s="899" t="str">
        <f>IF(ISERROR(W40/J10*100),"--",W40/J10*100)</f>
        <v>--</v>
      </c>
      <c r="X46" s="899"/>
      <c r="Y46" s="283"/>
      <c r="Z46" s="284"/>
      <c r="AA46" s="283"/>
      <c r="AB46" s="899" t="str">
        <f>IF(ISERROR(AB40/AW10*100),"--",AB40/AW10*100)</f>
        <v>--</v>
      </c>
      <c r="AC46" s="899"/>
      <c r="AD46" s="283"/>
      <c r="AE46" s="284"/>
      <c r="AH46" s="320" t="s">
        <v>1769</v>
      </c>
      <c r="AJ46" s="726"/>
      <c r="AK46" s="359"/>
      <c r="AL46" s="303"/>
      <c r="AM46" s="303"/>
      <c r="AV46" s="720"/>
      <c r="AW46" s="721">
        <f>IF(M46="",J46,M46)</f>
        <v>10</v>
      </c>
      <c r="AY46" s="315"/>
    </row>
    <row r="47" spans="2:51" ht="19.5" customHeight="1" x14ac:dyDescent="0.2">
      <c r="O47" s="356"/>
      <c r="P47" s="263" t="str">
        <f>HLOOKUP('4 Language'!$B$8,'4 Language'!$C$12:$H$307,229)</f>
        <v>Eingabe links beachten</v>
      </c>
      <c r="Q47" s="288"/>
      <c r="R47" s="288"/>
      <c r="S47" s="288"/>
      <c r="T47" s="288"/>
      <c r="U47" s="288"/>
      <c r="V47" s="288"/>
      <c r="W47" s="288"/>
      <c r="X47" s="288"/>
      <c r="Y47" s="288"/>
      <c r="Z47" s="288"/>
      <c r="AA47" s="288"/>
      <c r="AB47" s="288"/>
      <c r="AC47" s="288"/>
      <c r="AD47" s="288"/>
      <c r="AE47" s="288"/>
      <c r="AF47" s="306"/>
      <c r="AG47" s="306"/>
      <c r="AJ47" s="726"/>
      <c r="AK47" s="359"/>
      <c r="AL47" s="303"/>
      <c r="AM47" s="303"/>
      <c r="AX47"/>
      <c r="AY47" s="315"/>
    </row>
    <row r="48" spans="2:51" ht="19.5" customHeight="1" x14ac:dyDescent="0.2">
      <c r="B48" s="742"/>
      <c r="C48" s="743"/>
      <c r="D48" s="743"/>
      <c r="E48" s="743"/>
      <c r="F48" s="743"/>
      <c r="G48" s="743"/>
      <c r="H48" s="743"/>
      <c r="I48" s="743"/>
      <c r="J48" s="743"/>
      <c r="K48" s="743"/>
      <c r="L48" s="743"/>
      <c r="M48" s="743"/>
      <c r="N48" s="744"/>
      <c r="O48" s="288"/>
      <c r="P48" s="255" t="str">
        <f>HLOOKUP('4 Language'!$B$8,'4 Language'!$C$12:$H$330,309)</f>
        <v>Angussgewicht je Bauteil</v>
      </c>
      <c r="Q48" s="256"/>
      <c r="R48" s="256"/>
      <c r="S48" s="256"/>
      <c r="T48" s="256"/>
      <c r="U48" s="745"/>
      <c r="V48" s="282" t="s">
        <v>1752</v>
      </c>
      <c r="W48" s="880" t="str">
        <f>IF(ISERROR(W50/J45),"--",W50/J45)</f>
        <v>--</v>
      </c>
      <c r="X48" s="880"/>
      <c r="Y48" s="266"/>
      <c r="Z48" s="256"/>
      <c r="AA48" s="266"/>
      <c r="AB48" s="880" t="str">
        <f>IF(ISERROR(AB50/AW45),"--",AB50/AW45)</f>
        <v>--</v>
      </c>
      <c r="AC48" s="880"/>
      <c r="AD48" s="266"/>
      <c r="AE48" s="256"/>
      <c r="AF48" s="288"/>
      <c r="AG48" s="288"/>
      <c r="AJ48" s="727"/>
      <c r="AK48" s="728"/>
      <c r="AL48" s="729"/>
      <c r="AM48" s="729"/>
      <c r="AN48" s="724"/>
      <c r="AO48" s="724"/>
      <c r="AP48" s="724"/>
      <c r="AQ48" s="724"/>
      <c r="AR48" s="724"/>
      <c r="AS48" s="724"/>
      <c r="AT48" s="724"/>
      <c r="AU48" s="724"/>
      <c r="AV48" s="724"/>
      <c r="AW48" s="724"/>
      <c r="AX48" s="725"/>
      <c r="AY48" s="358"/>
    </row>
    <row r="49" spans="2:39" ht="18.75" customHeight="1" x14ac:dyDescent="0.2">
      <c r="B49" s="66"/>
      <c r="C49" s="869" t="s">
        <v>1717</v>
      </c>
      <c r="D49" s="869"/>
      <c r="E49" s="869"/>
      <c r="F49" s="869"/>
      <c r="G49" s="869"/>
      <c r="H49" s="869"/>
      <c r="I49" s="869"/>
      <c r="J49" s="869"/>
      <c r="K49" s="869"/>
      <c r="L49" s="869"/>
      <c r="M49" s="869"/>
      <c r="N49" s="267"/>
      <c r="O49" s="739"/>
      <c r="P49" s="732"/>
      <c r="Q49" s="746"/>
      <c r="R49" s="746"/>
      <c r="S49" s="746"/>
      <c r="T49" s="746"/>
      <c r="U49" s="746"/>
      <c r="V49" s="746"/>
      <c r="W49" s="746"/>
      <c r="X49" s="746"/>
      <c r="Y49" s="288"/>
      <c r="Z49" s="288"/>
      <c r="AA49" s="288"/>
      <c r="AB49" s="288"/>
      <c r="AC49" s="288"/>
      <c r="AD49" s="288"/>
      <c r="AE49" s="288"/>
      <c r="AF49" s="306"/>
      <c r="AG49" s="306"/>
      <c r="AJ49" s="303"/>
      <c r="AK49" s="359"/>
      <c r="AL49" s="303"/>
      <c r="AM49" s="303"/>
    </row>
    <row r="50" spans="2:39" ht="19.5" customHeight="1" x14ac:dyDescent="0.2">
      <c r="B50" s="66"/>
      <c r="C50" s="869"/>
      <c r="D50" s="869"/>
      <c r="E50" s="869"/>
      <c r="F50" s="869"/>
      <c r="G50" s="869"/>
      <c r="H50" s="869"/>
      <c r="I50" s="869"/>
      <c r="J50" s="869"/>
      <c r="K50" s="869"/>
      <c r="L50" s="869"/>
      <c r="M50" s="869"/>
      <c r="N50" s="267"/>
      <c r="O50" s="739"/>
      <c r="P50" s="255" t="str">
        <f>HLOOKUP('4 Language'!$B$8,'4 Language'!$C$12:$H$330,308)</f>
        <v>Angussgewicht gesamt</v>
      </c>
      <c r="Q50" s="256"/>
      <c r="R50" s="256"/>
      <c r="S50" s="256"/>
      <c r="T50" s="256"/>
      <c r="U50" s="747"/>
      <c r="V50" s="282" t="s">
        <v>1752</v>
      </c>
      <c r="W50" s="880">
        <f>J35-(AVERAGE(J38:K39)*J45)</f>
        <v>0</v>
      </c>
      <c r="X50" s="880"/>
      <c r="Y50" s="266"/>
      <c r="Z50" s="256"/>
      <c r="AA50" s="266"/>
      <c r="AB50" s="880">
        <f>AW35-(AVERAGE(AW38:AW39)*AW45)</f>
        <v>0</v>
      </c>
      <c r="AC50" s="880"/>
      <c r="AD50" s="266"/>
      <c r="AE50" s="256"/>
      <c r="AF50" s="306"/>
      <c r="AG50" s="306"/>
      <c r="AJ50" s="303"/>
      <c r="AK50" s="359"/>
      <c r="AL50" s="303"/>
      <c r="AM50" s="303"/>
    </row>
    <row r="51" spans="2:39" ht="19.5" customHeight="1" x14ac:dyDescent="0.2">
      <c r="C51" s="869"/>
      <c r="D51" s="869"/>
      <c r="E51" s="869"/>
      <c r="F51" s="869"/>
      <c r="G51" s="869"/>
      <c r="H51" s="869"/>
      <c r="I51" s="869"/>
      <c r="J51" s="869"/>
      <c r="K51" s="869"/>
      <c r="L51" s="869"/>
      <c r="M51" s="869"/>
      <c r="O51" s="739"/>
      <c r="Q51" s="288"/>
      <c r="R51" s="288"/>
      <c r="S51" s="288"/>
      <c r="T51" s="288"/>
      <c r="U51" s="288"/>
      <c r="V51" s="288"/>
      <c r="W51" s="288"/>
      <c r="X51" s="288"/>
      <c r="Y51" s="288"/>
      <c r="Z51" s="288"/>
      <c r="AA51" s="288"/>
      <c r="AB51" s="288"/>
      <c r="AC51" s="288"/>
      <c r="AD51" s="288"/>
      <c r="AE51" s="288"/>
      <c r="AF51" s="306"/>
      <c r="AG51" s="306"/>
      <c r="AJ51" s="303"/>
      <c r="AK51" s="359"/>
      <c r="AL51" s="303"/>
      <c r="AM51" s="303"/>
    </row>
    <row r="52" spans="2:39" ht="12" customHeight="1" x14ac:dyDescent="0.2">
      <c r="B52" s="66"/>
      <c r="C52" s="869"/>
      <c r="D52" s="869"/>
      <c r="E52" s="869"/>
      <c r="F52" s="869"/>
      <c r="G52" s="869"/>
      <c r="H52" s="869"/>
      <c r="I52" s="869"/>
      <c r="J52" s="869"/>
      <c r="K52" s="869"/>
      <c r="L52" s="869"/>
      <c r="M52" s="869"/>
      <c r="N52" s="267"/>
      <c r="O52" s="740"/>
      <c r="P52" s="266"/>
      <c r="Q52" s="290"/>
      <c r="R52" s="290"/>
      <c r="S52" s="290"/>
      <c r="T52" s="290"/>
      <c r="U52" s="290"/>
      <c r="V52" s="290"/>
      <c r="W52" s="290"/>
      <c r="X52" s="290"/>
      <c r="Y52" s="290"/>
      <c r="Z52" s="290"/>
      <c r="AA52" s="290"/>
      <c r="AB52" s="290"/>
      <c r="AC52" s="290"/>
      <c r="AD52" s="290"/>
      <c r="AE52" s="290"/>
      <c r="AF52" s="306"/>
      <c r="AG52" s="306"/>
      <c r="AJ52" s="303"/>
      <c r="AK52" s="359"/>
      <c r="AL52" s="303"/>
      <c r="AM52" s="303"/>
    </row>
    <row r="53" spans="2:39" ht="22.5" customHeight="1" x14ac:dyDescent="0.2">
      <c r="C53" s="869"/>
      <c r="D53" s="869"/>
      <c r="E53" s="869"/>
      <c r="F53" s="869"/>
      <c r="G53" s="869"/>
      <c r="H53" s="869"/>
      <c r="I53" s="869"/>
      <c r="J53" s="869"/>
      <c r="K53" s="869"/>
      <c r="L53" s="869"/>
      <c r="M53" s="869"/>
      <c r="O53" s="741"/>
      <c r="P53" s="66" t="str">
        <f>HLOOKUP('4 Language'!$B$8,'4 Language'!$C$12:$H$307,207)</f>
        <v>Kommentar / Notiz</v>
      </c>
      <c r="Q53" s="288"/>
      <c r="R53" s="288"/>
      <c r="S53" s="288"/>
      <c r="T53" s="288"/>
      <c r="U53" s="288"/>
      <c r="V53" s="288"/>
      <c r="W53" s="288"/>
      <c r="X53" s="288"/>
      <c r="Y53" s="288"/>
      <c r="Z53" s="288"/>
      <c r="AA53" s="288"/>
      <c r="AB53" s="288"/>
      <c r="AC53" s="288"/>
      <c r="AD53" s="288"/>
      <c r="AE53" s="288"/>
      <c r="AF53" s="306"/>
      <c r="AG53" s="306"/>
      <c r="AJ53" s="303"/>
      <c r="AK53" s="359"/>
      <c r="AL53" s="303"/>
      <c r="AM53" s="303"/>
    </row>
    <row r="54" spans="2:39" ht="19.5" customHeight="1" x14ac:dyDescent="0.2">
      <c r="B54" s="706"/>
      <c r="C54" s="869"/>
      <c r="D54" s="869"/>
      <c r="E54" s="869"/>
      <c r="F54" s="869"/>
      <c r="G54" s="869"/>
      <c r="H54" s="869"/>
      <c r="I54" s="869"/>
      <c r="J54" s="869"/>
      <c r="K54" s="869"/>
      <c r="L54" s="869"/>
      <c r="M54" s="869"/>
      <c r="N54" s="706"/>
      <c r="O54" s="288"/>
      <c r="P54" s="735"/>
      <c r="Q54" s="736"/>
      <c r="R54" s="736"/>
      <c r="S54" s="736"/>
      <c r="T54" s="736"/>
      <c r="U54" s="736"/>
      <c r="V54" s="736"/>
      <c r="W54" s="736"/>
      <c r="X54" s="736"/>
      <c r="Y54" s="736"/>
      <c r="Z54" s="736"/>
      <c r="AA54" s="736"/>
      <c r="AB54" s="736"/>
      <c r="AC54" s="736"/>
      <c r="AD54" s="736"/>
      <c r="AE54" s="737"/>
      <c r="AF54" s="306"/>
      <c r="AG54" s="306"/>
      <c r="AJ54" s="303"/>
      <c r="AK54" s="359"/>
      <c r="AL54" s="303"/>
      <c r="AM54" s="303"/>
    </row>
    <row r="55" spans="2:39" ht="19.5" customHeight="1" x14ac:dyDescent="0.2">
      <c r="B55" s="706"/>
      <c r="C55" s="869"/>
      <c r="D55" s="869"/>
      <c r="E55" s="869"/>
      <c r="F55" s="869"/>
      <c r="G55" s="869"/>
      <c r="H55" s="869"/>
      <c r="I55" s="869"/>
      <c r="J55" s="869"/>
      <c r="K55" s="869"/>
      <c r="L55" s="869"/>
      <c r="M55" s="869"/>
      <c r="N55" s="706"/>
      <c r="O55" s="288"/>
      <c r="P55" s="707"/>
      <c r="Q55" s="738"/>
      <c r="R55" s="738"/>
      <c r="S55" s="738"/>
      <c r="T55" s="738"/>
      <c r="U55" s="738"/>
      <c r="V55" s="738"/>
      <c r="W55" s="738"/>
      <c r="X55" s="738"/>
      <c r="Y55" s="738"/>
      <c r="Z55" s="738"/>
      <c r="AA55" s="738"/>
      <c r="AB55" s="738"/>
      <c r="AC55" s="738"/>
      <c r="AD55" s="738"/>
      <c r="AE55" s="708"/>
      <c r="AF55" s="306"/>
      <c r="AG55" s="306"/>
      <c r="AJ55" s="303"/>
      <c r="AK55" s="359"/>
      <c r="AL55" s="303"/>
      <c r="AM55" s="303"/>
    </row>
    <row r="56" spans="2:39" ht="19.5" customHeight="1" x14ac:dyDescent="0.2">
      <c r="B56" s="706"/>
      <c r="C56" s="706"/>
      <c r="D56" s="706"/>
      <c r="E56" s="706"/>
      <c r="F56" s="706"/>
      <c r="G56" s="706"/>
      <c r="H56" s="706"/>
      <c r="I56" s="706"/>
      <c r="J56" s="706"/>
      <c r="K56" s="706"/>
      <c r="L56" s="706"/>
      <c r="M56" s="706"/>
      <c r="N56" s="706"/>
      <c r="O56" s="356"/>
      <c r="P56" s="707"/>
      <c r="Q56" s="738"/>
      <c r="R56" s="738"/>
      <c r="S56" s="738"/>
      <c r="T56" s="738"/>
      <c r="U56" s="738"/>
      <c r="V56" s="738"/>
      <c r="W56" s="738"/>
      <c r="X56" s="738"/>
      <c r="Y56" s="738"/>
      <c r="Z56" s="738"/>
      <c r="AA56" s="738"/>
      <c r="AB56" s="738"/>
      <c r="AC56" s="738"/>
      <c r="AD56" s="738"/>
      <c r="AE56" s="708"/>
      <c r="AF56" s="306"/>
      <c r="AG56" s="306"/>
      <c r="AJ56" s="303"/>
      <c r="AK56" s="359"/>
      <c r="AL56" s="303"/>
      <c r="AM56" s="303"/>
    </row>
    <row r="57" spans="2:39" ht="19.5" customHeight="1" x14ac:dyDescent="0.2">
      <c r="B57" s="712" t="s">
        <v>1755</v>
      </c>
      <c r="C57" s="879" t="s">
        <v>1719</v>
      </c>
      <c r="D57" s="879"/>
      <c r="E57" s="879"/>
      <c r="F57" s="879"/>
      <c r="G57" s="879"/>
      <c r="H57" s="879"/>
      <c r="I57" s="879"/>
      <c r="J57" s="879"/>
      <c r="K57" s="879"/>
      <c r="L57" s="879"/>
      <c r="M57" s="879"/>
      <c r="N57" s="706"/>
      <c r="O57" s="356"/>
      <c r="P57" s="707"/>
      <c r="Q57" s="738"/>
      <c r="R57" s="738"/>
      <c r="S57" s="738"/>
      <c r="T57" s="738"/>
      <c r="U57" s="738"/>
      <c r="V57" s="738"/>
      <c r="W57" s="738"/>
      <c r="X57" s="738"/>
      <c r="Y57" s="738"/>
      <c r="Z57" s="738"/>
      <c r="AA57" s="738"/>
      <c r="AB57" s="738"/>
      <c r="AC57" s="738"/>
      <c r="AD57" s="738"/>
      <c r="AE57" s="708"/>
      <c r="AF57" s="306"/>
      <c r="AG57" s="306"/>
      <c r="AJ57" s="303"/>
      <c r="AK57" s="359"/>
      <c r="AL57" s="303"/>
      <c r="AM57" s="303"/>
    </row>
    <row r="58" spans="2:39" ht="19.5" customHeight="1" x14ac:dyDescent="0.2">
      <c r="C58" s="879"/>
      <c r="D58" s="879"/>
      <c r="E58" s="879"/>
      <c r="F58" s="879"/>
      <c r="G58" s="879"/>
      <c r="H58" s="879"/>
      <c r="I58" s="879"/>
      <c r="J58" s="879"/>
      <c r="K58" s="879"/>
      <c r="L58" s="879"/>
      <c r="M58" s="879"/>
      <c r="N58" s="713"/>
      <c r="O58" s="356"/>
      <c r="P58" s="709"/>
      <c r="Q58" s="710"/>
      <c r="R58" s="710"/>
      <c r="S58" s="710"/>
      <c r="T58" s="710"/>
      <c r="U58" s="710"/>
      <c r="V58" s="710"/>
      <c r="W58" s="710"/>
      <c r="X58" s="710"/>
      <c r="Y58" s="710"/>
      <c r="Z58" s="710"/>
      <c r="AA58" s="710"/>
      <c r="AB58" s="710"/>
      <c r="AC58" s="710"/>
      <c r="AD58" s="710"/>
      <c r="AE58" s="711"/>
      <c r="AF58" s="303"/>
      <c r="AG58" s="303"/>
      <c r="AJ58" s="303"/>
      <c r="AK58" s="359"/>
      <c r="AL58" s="303"/>
      <c r="AM58" s="303"/>
    </row>
    <row r="59" spans="2:39" ht="19.5" customHeight="1" x14ac:dyDescent="0.2">
      <c r="B59" s="712"/>
      <c r="C59" s="713"/>
      <c r="D59" s="713"/>
      <c r="E59" s="713"/>
      <c r="F59" s="713"/>
      <c r="G59" s="713"/>
      <c r="H59" s="713"/>
      <c r="I59" s="713"/>
      <c r="J59" s="713"/>
      <c r="K59" s="713"/>
      <c r="L59" s="713"/>
      <c r="M59" s="713"/>
      <c r="N59" s="713"/>
      <c r="O59" s="356"/>
      <c r="P59" s="273"/>
      <c r="Q59" s="269"/>
      <c r="AF59" s="303"/>
      <c r="AG59" s="303"/>
      <c r="AJ59" s="303"/>
      <c r="AK59" s="359"/>
      <c r="AL59" s="303"/>
      <c r="AM59" s="303"/>
    </row>
    <row r="60" spans="2:39" ht="19.5" customHeight="1" x14ac:dyDescent="0.2">
      <c r="B60" s="267"/>
      <c r="K60" s="268"/>
      <c r="L60" s="269"/>
      <c r="M60" s="268"/>
      <c r="N60" s="269"/>
      <c r="O60" s="356"/>
      <c r="AF60" s="306"/>
      <c r="AG60" s="306"/>
      <c r="AJ60" s="303"/>
      <c r="AK60" s="359"/>
      <c r="AL60" s="303"/>
      <c r="AM60" s="303"/>
    </row>
    <row r="61" spans="2:39" ht="19.5" customHeight="1" x14ac:dyDescent="0.2">
      <c r="B61" s="267"/>
      <c r="C61" s="267"/>
      <c r="D61" s="267"/>
      <c r="E61" s="362"/>
      <c r="F61" s="362"/>
      <c r="G61" s="267"/>
      <c r="J61" s="268"/>
      <c r="K61" s="269"/>
      <c r="L61" s="363"/>
      <c r="M61" s="268"/>
      <c r="N61" s="269"/>
      <c r="O61" s="356"/>
      <c r="P61" s="273"/>
      <c r="Q61" s="269"/>
      <c r="AF61" s="303"/>
      <c r="AG61" s="303"/>
      <c r="AJ61" s="303"/>
      <c r="AK61" s="359"/>
      <c r="AL61" s="303"/>
      <c r="AM61" s="303"/>
    </row>
    <row r="62" spans="2:39" ht="19.5" customHeight="1" x14ac:dyDescent="0.2">
      <c r="B62" s="267"/>
      <c r="C62" s="267"/>
      <c r="D62" s="267"/>
      <c r="E62" s="362"/>
      <c r="F62" s="362"/>
      <c r="G62" s="267"/>
      <c r="J62" s="268"/>
      <c r="K62" s="269"/>
      <c r="L62" s="363"/>
      <c r="M62" s="268"/>
      <c r="N62" s="269"/>
      <c r="O62" s="356"/>
      <c r="P62" s="273"/>
      <c r="Q62" s="269"/>
      <c r="AF62" s="303"/>
      <c r="AG62" s="303"/>
      <c r="AJ62" s="303"/>
      <c r="AK62" s="359"/>
      <c r="AL62" s="303"/>
      <c r="AM62" s="303"/>
    </row>
    <row r="63" spans="2:39" ht="19.5" customHeight="1" x14ac:dyDescent="0.2">
      <c r="B63" s="267"/>
      <c r="C63" s="267"/>
      <c r="D63" s="267"/>
      <c r="E63" s="362"/>
      <c r="F63" s="362"/>
      <c r="G63" s="267"/>
      <c r="J63" s="268"/>
      <c r="K63" s="269"/>
      <c r="L63" s="363"/>
      <c r="M63" s="268"/>
      <c r="N63" s="269"/>
      <c r="O63" s="356"/>
      <c r="P63" s="273"/>
      <c r="Q63" s="269"/>
      <c r="AF63" s="303"/>
      <c r="AG63" s="303"/>
      <c r="AJ63" s="303"/>
      <c r="AK63" s="359"/>
      <c r="AL63" s="303"/>
      <c r="AM63" s="303"/>
    </row>
    <row r="64" spans="2:39" ht="19.5" customHeight="1" x14ac:dyDescent="0.2">
      <c r="B64" s="267"/>
      <c r="C64" s="267"/>
      <c r="D64" s="267"/>
      <c r="E64" s="362"/>
      <c r="F64" s="362"/>
      <c r="G64" s="267"/>
      <c r="J64" s="268"/>
      <c r="K64" s="269"/>
      <c r="L64" s="363"/>
      <c r="M64" s="268"/>
      <c r="N64" s="269"/>
      <c r="O64" s="356"/>
      <c r="P64" s="273"/>
      <c r="Q64" s="269"/>
      <c r="AF64" s="303"/>
      <c r="AG64" s="303"/>
      <c r="AJ64" s="303"/>
      <c r="AK64" s="359"/>
      <c r="AL64" s="303"/>
      <c r="AM64" s="303"/>
    </row>
    <row r="65" spans="2:39" ht="19.5" customHeight="1" x14ac:dyDescent="0.2">
      <c r="B65" s="267"/>
      <c r="C65" s="267"/>
      <c r="D65" s="267"/>
      <c r="E65" s="267"/>
      <c r="F65" s="269"/>
      <c r="G65" s="360"/>
      <c r="H65" s="360"/>
      <c r="I65" s="361"/>
      <c r="J65" s="361"/>
      <c r="K65" s="361"/>
      <c r="L65" s="361"/>
      <c r="M65" s="361"/>
      <c r="N65" s="360"/>
      <c r="O65" s="356"/>
      <c r="P65" s="273"/>
      <c r="Q65" s="269"/>
      <c r="AF65" s="303"/>
      <c r="AG65" s="303"/>
      <c r="AJ65" s="303"/>
      <c r="AK65" s="359"/>
      <c r="AL65" s="303"/>
      <c r="AM65" s="303"/>
    </row>
    <row r="66" spans="2:39" ht="9" customHeight="1" x14ac:dyDescent="0.2">
      <c r="B66" s="267"/>
      <c r="C66" s="267"/>
      <c r="D66" s="267"/>
      <c r="E66" s="267"/>
      <c r="F66" s="269"/>
      <c r="G66" s="364"/>
      <c r="H66" s="268"/>
      <c r="I66" s="269"/>
      <c r="J66" s="364"/>
      <c r="K66" s="364"/>
      <c r="L66" s="364"/>
      <c r="M66" s="268"/>
      <c r="N66" s="269"/>
      <c r="O66" s="356"/>
      <c r="P66" s="269"/>
      <c r="Q66" s="269"/>
      <c r="R66" s="269"/>
      <c r="S66" s="269"/>
      <c r="T66" s="269"/>
      <c r="U66" s="269"/>
      <c r="V66" s="269"/>
      <c r="W66" s="269"/>
      <c r="X66" s="269"/>
      <c r="Y66" s="269"/>
      <c r="Z66" s="269"/>
      <c r="AA66" s="269"/>
      <c r="AB66" s="269"/>
      <c r="AC66" s="269"/>
      <c r="AD66" s="269"/>
      <c r="AE66" s="269"/>
      <c r="AF66" s="306"/>
      <c r="AG66" s="306"/>
      <c r="AJ66" s="303"/>
      <c r="AK66" s="359"/>
      <c r="AL66" s="303"/>
      <c r="AM66" s="303"/>
    </row>
    <row r="67" spans="2:39" ht="19.5" customHeight="1" x14ac:dyDescent="0.2">
      <c r="B67" s="267"/>
      <c r="C67" s="267"/>
      <c r="D67" s="267"/>
      <c r="E67" s="267"/>
      <c r="F67" s="269"/>
      <c r="G67" s="364"/>
      <c r="H67" s="268"/>
      <c r="I67" s="269"/>
      <c r="J67" s="269"/>
      <c r="K67" s="269"/>
      <c r="L67" s="269"/>
      <c r="M67" s="269"/>
      <c r="N67" s="269"/>
      <c r="O67" s="356"/>
      <c r="P67" s="269"/>
      <c r="Q67" s="269"/>
      <c r="R67" s="269"/>
      <c r="S67" s="365"/>
      <c r="T67" s="365"/>
      <c r="U67" s="365"/>
      <c r="V67" s="365"/>
      <c r="W67" s="365"/>
      <c r="X67" s="365"/>
      <c r="Y67" s="365"/>
      <c r="Z67" s="365"/>
      <c r="AA67" s="365"/>
      <c r="AB67" s="365"/>
      <c r="AC67" s="365"/>
      <c r="AD67" s="365"/>
      <c r="AE67" s="365"/>
      <c r="AF67" s="306"/>
      <c r="AG67" s="306"/>
      <c r="AJ67" s="303"/>
      <c r="AK67" s="359"/>
      <c r="AL67" s="303"/>
      <c r="AM67" s="303"/>
    </row>
    <row r="68" spans="2:39" ht="19.5" customHeight="1" x14ac:dyDescent="0.2">
      <c r="B68" s="366"/>
      <c r="C68" s="367"/>
      <c r="D68" s="367"/>
      <c r="E68" s="367"/>
      <c r="M68" s="276"/>
      <c r="S68" s="368"/>
      <c r="T68" s="368"/>
      <c r="U68" s="365"/>
      <c r="V68" s="368"/>
      <c r="W68" s="368"/>
      <c r="X68" s="368"/>
      <c r="Y68" s="368"/>
      <c r="Z68" s="368"/>
      <c r="AA68" s="368"/>
      <c r="AB68" s="368"/>
      <c r="AC68" s="368"/>
      <c r="AD68" s="368"/>
      <c r="AE68" s="368"/>
      <c r="AF68" s="306"/>
      <c r="AG68" s="306"/>
      <c r="AJ68" s="303"/>
      <c r="AK68" s="359"/>
      <c r="AL68" s="303"/>
      <c r="AM68" s="303"/>
    </row>
    <row r="69" spans="2:39" ht="19.5" customHeight="1" x14ac:dyDescent="0.2">
      <c r="B69" s="276"/>
      <c r="C69" s="369"/>
      <c r="D69" s="269"/>
      <c r="E69" s="276"/>
      <c r="F69" s="269"/>
      <c r="G69" s="364"/>
      <c r="H69" s="364"/>
      <c r="I69" s="370"/>
      <c r="J69" s="371"/>
      <c r="K69" s="372"/>
      <c r="L69" s="370"/>
      <c r="M69" s="371"/>
      <c r="N69" s="370"/>
      <c r="O69" s="356"/>
      <c r="P69" s="276"/>
      <c r="Q69" s="369"/>
      <c r="R69" s="269"/>
      <c r="S69" s="276"/>
      <c r="T69" s="276"/>
      <c r="U69" s="361"/>
      <c r="V69" s="361"/>
      <c r="W69" s="361"/>
      <c r="X69" s="361"/>
      <c r="Y69" s="361"/>
      <c r="Z69" s="361"/>
      <c r="AA69" s="361"/>
      <c r="AB69" s="361"/>
      <c r="AC69" s="361"/>
      <c r="AD69" s="361"/>
      <c r="AE69" s="361"/>
      <c r="AF69" s="306"/>
      <c r="AG69" s="306"/>
      <c r="AJ69" s="303"/>
      <c r="AK69" s="359"/>
      <c r="AL69" s="303"/>
      <c r="AM69" s="303"/>
    </row>
    <row r="70" spans="2:39" ht="19.5" customHeight="1" x14ac:dyDescent="0.2">
      <c r="B70" s="276"/>
      <c r="C70" s="369"/>
      <c r="D70" s="269"/>
      <c r="E70" s="276"/>
      <c r="F70" s="373"/>
      <c r="G70" s="373"/>
      <c r="H70" s="374"/>
      <c r="I70" s="373"/>
      <c r="J70" s="373"/>
      <c r="K70" s="374"/>
      <c r="L70" s="373"/>
      <c r="M70" s="373"/>
      <c r="N70" s="364"/>
      <c r="O70" s="356"/>
      <c r="P70" s="276"/>
      <c r="Q70" s="369"/>
      <c r="R70" s="269"/>
      <c r="S70" s="276"/>
      <c r="T70" s="269"/>
      <c r="U70" s="269"/>
      <c r="V70" s="269"/>
      <c r="W70" s="364"/>
      <c r="X70" s="363"/>
      <c r="Y70" s="363"/>
      <c r="Z70" s="363"/>
      <c r="AA70" s="363"/>
      <c r="AB70" s="363"/>
      <c r="AC70" s="373"/>
      <c r="AD70" s="373"/>
      <c r="AE70" s="248"/>
      <c r="AF70" s="306"/>
      <c r="AG70" s="306"/>
      <c r="AJ70" s="303"/>
      <c r="AK70" s="359"/>
      <c r="AL70" s="303"/>
      <c r="AM70" s="303"/>
    </row>
    <row r="71" spans="2:39" ht="19.5" customHeight="1" x14ac:dyDescent="0.2">
      <c r="B71" s="276"/>
      <c r="C71" s="369"/>
      <c r="D71" s="269"/>
      <c r="E71" s="276"/>
      <c r="F71" s="269"/>
      <c r="G71" s="364"/>
      <c r="H71" s="364"/>
      <c r="I71" s="364"/>
      <c r="J71" s="364"/>
      <c r="K71" s="364"/>
      <c r="L71" s="375"/>
      <c r="M71" s="375"/>
      <c r="N71" s="364"/>
      <c r="O71" s="364"/>
      <c r="AF71" s="306"/>
      <c r="AG71" s="306"/>
      <c r="AJ71" s="303"/>
      <c r="AK71" s="359"/>
      <c r="AL71" s="303"/>
      <c r="AM71" s="303"/>
    </row>
    <row r="72" spans="2:39" ht="19.5" customHeight="1" x14ac:dyDescent="0.2">
      <c r="B72" s="276"/>
      <c r="C72" s="269"/>
      <c r="H72" s="268"/>
      <c r="I72" s="376"/>
      <c r="M72" s="377"/>
      <c r="O72" s="364"/>
      <c r="AF72" s="306"/>
      <c r="AG72" s="306"/>
      <c r="AJ72" s="303"/>
      <c r="AK72" s="359"/>
      <c r="AL72" s="303"/>
      <c r="AM72" s="303"/>
    </row>
    <row r="73" spans="2:39" ht="19.5" customHeight="1" x14ac:dyDescent="0.2">
      <c r="H73" s="268"/>
      <c r="M73" s="268"/>
      <c r="O73" s="364"/>
      <c r="AF73" s="306"/>
      <c r="AG73" s="306"/>
      <c r="AJ73" s="303"/>
      <c r="AK73" s="359"/>
      <c r="AL73" s="303"/>
      <c r="AM73" s="303"/>
    </row>
    <row r="74" spans="2:39" ht="19.5" customHeight="1" x14ac:dyDescent="0.2">
      <c r="B74" s="276"/>
      <c r="C74" s="369"/>
      <c r="D74" s="269"/>
      <c r="E74" s="276"/>
      <c r="F74" s="276"/>
      <c r="G74" s="361"/>
      <c r="H74" s="361"/>
      <c r="I74" s="361"/>
      <c r="J74" s="361"/>
      <c r="K74" s="361"/>
      <c r="L74" s="361"/>
      <c r="M74" s="361"/>
      <c r="N74" s="361"/>
      <c r="O74" s="364"/>
      <c r="AF74" s="306"/>
      <c r="AG74" s="306"/>
      <c r="AJ74" s="303"/>
      <c r="AK74" s="359"/>
      <c r="AL74" s="303"/>
      <c r="AM74" s="303"/>
    </row>
    <row r="75" spans="2:39" ht="19.5" customHeight="1" x14ac:dyDescent="0.2">
      <c r="B75" s="276"/>
      <c r="C75" s="369"/>
      <c r="D75" s="269"/>
      <c r="E75" s="276"/>
      <c r="F75" s="276"/>
      <c r="G75" s="361"/>
      <c r="H75" s="361"/>
      <c r="I75" s="361"/>
      <c r="J75" s="361"/>
      <c r="K75" s="361"/>
      <c r="L75" s="361"/>
      <c r="M75" s="361"/>
      <c r="N75" s="361"/>
      <c r="O75" s="364"/>
      <c r="AF75" s="306"/>
      <c r="AG75" s="306"/>
      <c r="AJ75" s="303"/>
      <c r="AK75" s="359"/>
      <c r="AL75" s="303"/>
      <c r="AM75" s="303"/>
    </row>
    <row r="76" spans="2:39" ht="19.5" customHeight="1" x14ac:dyDescent="0.2">
      <c r="B76" s="276"/>
      <c r="C76" s="369"/>
      <c r="D76" s="269"/>
      <c r="E76" s="276"/>
      <c r="F76" s="276"/>
      <c r="G76" s="361"/>
      <c r="H76" s="361"/>
      <c r="I76" s="361"/>
      <c r="J76" s="361"/>
      <c r="K76" s="361"/>
      <c r="L76" s="361"/>
      <c r="M76" s="361"/>
      <c r="N76" s="361"/>
      <c r="O76" s="364"/>
      <c r="AJ76" s="303"/>
      <c r="AK76" s="359"/>
      <c r="AL76" s="303"/>
      <c r="AM76" s="303"/>
    </row>
    <row r="77" spans="2:39" ht="19.5" customHeight="1" x14ac:dyDescent="0.2">
      <c r="B77" s="269"/>
      <c r="F77" s="378"/>
      <c r="G77" s="379"/>
      <c r="H77" s="379"/>
      <c r="J77" s="380"/>
      <c r="L77" s="381"/>
      <c r="M77" s="381"/>
      <c r="N77" s="382"/>
      <c r="O77" s="364"/>
      <c r="AF77" s="306"/>
      <c r="AG77" s="306"/>
      <c r="AJ77" s="303"/>
      <c r="AK77" s="359"/>
      <c r="AL77" s="303"/>
      <c r="AM77" s="303"/>
    </row>
    <row r="78" spans="2:39" ht="19.5" customHeight="1" x14ac:dyDescent="0.2">
      <c r="B78" s="383"/>
      <c r="G78" s="384"/>
      <c r="H78" s="384"/>
      <c r="K78" s="268"/>
      <c r="L78" s="384"/>
      <c r="M78" s="384"/>
      <c r="O78" s="364"/>
      <c r="AF78" s="306"/>
      <c r="AG78" s="306"/>
      <c r="AJ78" s="303"/>
      <c r="AK78" s="359"/>
      <c r="AL78" s="303"/>
      <c r="AM78" s="303"/>
    </row>
    <row r="79" spans="2:39" ht="19.5" customHeight="1" x14ac:dyDescent="0.2">
      <c r="B79" s="383"/>
      <c r="G79" s="384"/>
      <c r="H79" s="384"/>
      <c r="K79" s="268"/>
      <c r="L79" s="384"/>
      <c r="M79" s="384"/>
      <c r="O79" s="364"/>
      <c r="AF79" s="306"/>
      <c r="AG79" s="306"/>
      <c r="AJ79" s="303"/>
      <c r="AK79" s="359"/>
      <c r="AL79" s="303"/>
      <c r="AM79" s="303"/>
    </row>
    <row r="80" spans="2:39" ht="19.5" customHeight="1" x14ac:dyDescent="0.2">
      <c r="B80" s="383"/>
      <c r="G80" s="384"/>
      <c r="H80" s="384"/>
      <c r="K80" s="268"/>
      <c r="L80" s="384"/>
      <c r="M80" s="384"/>
      <c r="O80" s="364"/>
      <c r="AF80" s="306"/>
      <c r="AG80" s="306"/>
      <c r="AJ80" s="303"/>
      <c r="AK80" s="359"/>
      <c r="AL80" s="303"/>
      <c r="AM80" s="303"/>
    </row>
    <row r="81" spans="1:39" ht="9.75" customHeight="1" x14ac:dyDescent="0.2">
      <c r="A81" s="269"/>
      <c r="B81" s="269"/>
      <c r="C81" s="269"/>
      <c r="D81" s="269"/>
      <c r="E81" s="276"/>
      <c r="F81" s="269"/>
      <c r="G81" s="364"/>
      <c r="H81" s="364"/>
      <c r="I81" s="364"/>
      <c r="J81" s="364"/>
      <c r="K81" s="364"/>
      <c r="L81" s="364"/>
      <c r="M81" s="364"/>
      <c r="N81" s="364"/>
      <c r="O81" s="364"/>
      <c r="AF81" s="306"/>
      <c r="AG81" s="306"/>
      <c r="AJ81" s="303"/>
      <c r="AK81" s="359"/>
      <c r="AL81" s="303"/>
      <c r="AM81" s="303"/>
    </row>
    <row r="82" spans="1:39" ht="19.5" customHeight="1" x14ac:dyDescent="0.2">
      <c r="A82" s="269"/>
      <c r="B82" s="366"/>
      <c r="C82" s="367"/>
      <c r="D82" s="367"/>
      <c r="E82" s="367"/>
      <c r="M82" s="276"/>
      <c r="AF82" s="306"/>
      <c r="AG82" s="306"/>
      <c r="AJ82" s="303"/>
      <c r="AK82" s="359"/>
      <c r="AL82" s="303"/>
      <c r="AM82" s="303"/>
    </row>
    <row r="83" spans="1:39" ht="19.5" customHeight="1" x14ac:dyDescent="0.2">
      <c r="A83" s="269"/>
      <c r="B83" s="385"/>
      <c r="C83" s="269"/>
      <c r="D83" s="269"/>
      <c r="E83" s="276"/>
      <c r="F83" s="269"/>
      <c r="G83" s="364"/>
      <c r="H83" s="364"/>
      <c r="I83" s="364"/>
      <c r="K83" s="268"/>
      <c r="L83" s="269"/>
      <c r="M83" s="268"/>
      <c r="N83" s="269"/>
      <c r="O83" s="364"/>
      <c r="AF83" s="306"/>
      <c r="AG83" s="306"/>
      <c r="AJ83" s="303"/>
      <c r="AK83" s="359"/>
      <c r="AL83" s="303"/>
      <c r="AM83" s="303"/>
    </row>
    <row r="84" spans="1:39" ht="19.5" customHeight="1" x14ac:dyDescent="0.2">
      <c r="A84" s="269"/>
      <c r="B84" s="276"/>
      <c r="C84" s="288"/>
      <c r="D84" s="288"/>
      <c r="E84" s="288"/>
      <c r="F84" s="288"/>
      <c r="G84" s="288"/>
      <c r="H84" s="288"/>
      <c r="I84" s="288"/>
      <c r="J84" s="288"/>
      <c r="K84" s="288"/>
      <c r="L84" s="288"/>
      <c r="M84" s="288"/>
      <c r="N84" s="288"/>
      <c r="O84" s="364"/>
      <c r="AF84" s="306"/>
      <c r="AG84" s="306"/>
      <c r="AJ84" s="303"/>
      <c r="AK84" s="359"/>
      <c r="AL84" s="303"/>
      <c r="AM84" s="303"/>
    </row>
    <row r="85" spans="1:39" ht="19.5" customHeight="1" x14ac:dyDescent="0.2">
      <c r="B85" s="386"/>
      <c r="C85" s="386"/>
      <c r="D85" s="386"/>
      <c r="E85" s="386"/>
      <c r="F85" s="386"/>
      <c r="G85" s="386"/>
      <c r="H85" s="386"/>
      <c r="I85" s="386"/>
      <c r="J85" s="386"/>
      <c r="K85" s="386"/>
      <c r="L85" s="386"/>
      <c r="M85" s="386"/>
      <c r="N85" s="386"/>
      <c r="O85" s="364"/>
      <c r="AF85" s="306"/>
      <c r="AG85" s="306"/>
      <c r="AJ85" s="303"/>
      <c r="AK85" s="359"/>
      <c r="AL85" s="303"/>
      <c r="AM85" s="303"/>
    </row>
    <row r="86" spans="1:39" ht="19.5" customHeight="1" x14ac:dyDescent="0.2">
      <c r="B86" s="269"/>
      <c r="C86" s="369"/>
      <c r="D86" s="269"/>
      <c r="E86" s="276"/>
      <c r="F86" s="269"/>
      <c r="G86" s="364"/>
      <c r="H86" s="364"/>
      <c r="I86" s="364"/>
      <c r="J86" s="364"/>
      <c r="K86" s="364"/>
      <c r="L86" s="387"/>
      <c r="M86" s="387"/>
      <c r="N86" s="364"/>
      <c r="O86" s="364"/>
      <c r="AJ86" s="303"/>
      <c r="AK86" s="359"/>
      <c r="AL86" s="303"/>
      <c r="AM86" s="303"/>
    </row>
    <row r="87" spans="1:39" ht="19.5" customHeight="1" x14ac:dyDescent="0.2">
      <c r="B87" s="269"/>
      <c r="C87" s="369"/>
      <c r="D87" s="269"/>
      <c r="E87" s="276"/>
      <c r="F87" s="269"/>
      <c r="G87" s="364"/>
      <c r="H87" s="364"/>
      <c r="I87" s="364"/>
      <c r="K87" s="268"/>
      <c r="L87" s="269"/>
      <c r="M87" s="268"/>
      <c r="N87" s="269"/>
      <c r="O87" s="364"/>
      <c r="AF87" s="306"/>
      <c r="AG87" s="306"/>
      <c r="AJ87" s="303"/>
      <c r="AK87" s="359"/>
      <c r="AL87" s="303"/>
      <c r="AM87" s="303"/>
    </row>
    <row r="88" spans="1:39" ht="9.75" customHeight="1" x14ac:dyDescent="0.2">
      <c r="B88" s="269"/>
      <c r="C88" s="369"/>
      <c r="D88" s="269"/>
      <c r="E88" s="276"/>
      <c r="F88" s="269"/>
      <c r="G88" s="364"/>
      <c r="H88" s="364"/>
      <c r="I88" s="364"/>
      <c r="J88" s="364"/>
      <c r="K88" s="364"/>
      <c r="L88" s="364"/>
      <c r="M88" s="364"/>
      <c r="N88" s="364"/>
      <c r="O88" s="364"/>
      <c r="AF88" s="306"/>
      <c r="AG88" s="306"/>
      <c r="AJ88" s="303"/>
      <c r="AK88" s="359"/>
      <c r="AL88" s="303"/>
      <c r="AM88" s="303"/>
    </row>
    <row r="89" spans="1:39" ht="19.5" customHeight="1" x14ac:dyDescent="0.2">
      <c r="B89" s="366"/>
      <c r="C89" s="367"/>
      <c r="D89" s="367"/>
      <c r="E89" s="367"/>
      <c r="M89" s="276"/>
      <c r="AF89" s="306"/>
      <c r="AG89" s="306"/>
      <c r="AJ89" s="303"/>
      <c r="AK89" s="359"/>
      <c r="AL89" s="303"/>
      <c r="AM89" s="303"/>
    </row>
    <row r="90" spans="1:39" ht="19.5" customHeight="1" x14ac:dyDescent="0.2">
      <c r="B90" s="369"/>
      <c r="C90" s="369"/>
      <c r="D90" s="269"/>
      <c r="E90" s="276"/>
      <c r="F90" s="269"/>
      <c r="G90" s="364"/>
      <c r="H90" s="364"/>
      <c r="I90" s="364"/>
      <c r="K90" s="268"/>
      <c r="L90" s="269"/>
      <c r="M90" s="268"/>
      <c r="N90" s="269"/>
      <c r="O90" s="364"/>
      <c r="AF90" s="306"/>
      <c r="AG90" s="306"/>
      <c r="AJ90" s="303"/>
      <c r="AK90" s="359"/>
      <c r="AL90" s="303"/>
      <c r="AM90" s="303"/>
    </row>
    <row r="91" spans="1:39" ht="19.5" customHeight="1" x14ac:dyDescent="0.2">
      <c r="B91" s="369"/>
      <c r="C91" s="369"/>
      <c r="D91" s="269"/>
      <c r="E91" s="276"/>
      <c r="F91" s="269"/>
      <c r="G91" s="364"/>
      <c r="H91" s="364"/>
      <c r="I91" s="276"/>
      <c r="J91" s="388"/>
      <c r="K91" s="388"/>
      <c r="L91" s="388"/>
      <c r="M91" s="388"/>
      <c r="N91" s="388"/>
      <c r="O91" s="364"/>
      <c r="AF91" s="306"/>
      <c r="AG91" s="306"/>
      <c r="AJ91" s="303"/>
      <c r="AK91" s="359"/>
      <c r="AL91" s="303"/>
      <c r="AM91" s="303"/>
    </row>
    <row r="92" spans="1:39" ht="19.5" customHeight="1" x14ac:dyDescent="0.2">
      <c r="B92" s="386"/>
      <c r="C92" s="386"/>
      <c r="D92" s="386"/>
      <c r="E92" s="386"/>
      <c r="F92" s="386"/>
      <c r="G92" s="386"/>
      <c r="H92" s="386"/>
      <c r="I92" s="386"/>
      <c r="J92" s="386"/>
      <c r="K92" s="386"/>
      <c r="L92" s="386"/>
      <c r="M92" s="386"/>
      <c r="N92" s="386"/>
      <c r="O92" s="364"/>
      <c r="AF92" s="306"/>
      <c r="AG92" s="306"/>
      <c r="AJ92" s="303"/>
      <c r="AK92" s="359"/>
      <c r="AL92" s="303"/>
      <c r="AM92" s="303"/>
    </row>
    <row r="93" spans="1:39" ht="19.5" customHeight="1" x14ac:dyDescent="0.2">
      <c r="B93" s="386"/>
      <c r="C93" s="386"/>
      <c r="D93" s="386"/>
      <c r="E93" s="386"/>
      <c r="F93" s="386"/>
      <c r="G93" s="386"/>
      <c r="H93" s="386"/>
      <c r="I93" s="386"/>
      <c r="J93" s="386"/>
      <c r="K93" s="386"/>
      <c r="L93" s="386"/>
      <c r="M93" s="386"/>
      <c r="N93" s="386"/>
      <c r="O93" s="364"/>
      <c r="AF93" s="306"/>
      <c r="AG93" s="306"/>
      <c r="AJ93" s="303"/>
      <c r="AK93" s="304"/>
      <c r="AL93" s="303"/>
      <c r="AM93" s="303"/>
    </row>
    <row r="94" spans="1:39" ht="19.5" customHeight="1" x14ac:dyDescent="0.2">
      <c r="B94" s="369"/>
      <c r="C94" s="369"/>
      <c r="D94" s="269"/>
      <c r="E94" s="276"/>
      <c r="F94" s="269"/>
      <c r="G94" s="364"/>
      <c r="H94" s="364"/>
      <c r="I94" s="364"/>
      <c r="J94" s="364"/>
      <c r="K94" s="364"/>
      <c r="L94" s="389"/>
      <c r="M94" s="389"/>
      <c r="N94" s="364"/>
      <c r="O94" s="364"/>
      <c r="AF94" s="306"/>
      <c r="AG94" s="306"/>
      <c r="AJ94" s="303"/>
      <c r="AK94" s="304"/>
      <c r="AL94" s="303"/>
      <c r="AM94" s="303"/>
    </row>
    <row r="95" spans="1:39" ht="19.5" customHeight="1" x14ac:dyDescent="0.2">
      <c r="B95" s="369"/>
      <c r="C95" s="369"/>
      <c r="D95" s="269"/>
      <c r="E95" s="276"/>
      <c r="F95" s="269"/>
      <c r="G95" s="364"/>
      <c r="H95" s="364"/>
      <c r="I95" s="364"/>
      <c r="K95" s="268"/>
      <c r="L95" s="269"/>
      <c r="M95" s="268"/>
      <c r="N95" s="269"/>
      <c r="O95" s="364"/>
      <c r="AF95" s="306"/>
      <c r="AG95" s="306"/>
      <c r="AJ95" s="303"/>
      <c r="AK95" s="304"/>
      <c r="AL95" s="303"/>
      <c r="AM95" s="303"/>
    </row>
    <row r="96" spans="1:39" ht="19.5" customHeight="1" x14ac:dyDescent="0.2">
      <c r="B96" s="369"/>
      <c r="C96" s="369"/>
      <c r="D96" s="269"/>
      <c r="E96" s="276"/>
      <c r="F96" s="269"/>
      <c r="G96" s="364"/>
      <c r="H96" s="364"/>
      <c r="I96" s="276"/>
      <c r="J96" s="388"/>
      <c r="K96" s="388"/>
      <c r="L96" s="388"/>
      <c r="M96" s="388"/>
      <c r="N96" s="388"/>
      <c r="O96" s="364"/>
      <c r="AF96" s="306"/>
      <c r="AG96" s="306"/>
      <c r="AJ96" s="303"/>
      <c r="AK96" s="304"/>
      <c r="AL96" s="303"/>
      <c r="AM96" s="303"/>
    </row>
    <row r="97" spans="1:39" ht="19.5" customHeight="1" x14ac:dyDescent="0.2">
      <c r="B97" s="386"/>
      <c r="C97" s="386"/>
      <c r="D97" s="386"/>
      <c r="E97" s="386"/>
      <c r="F97" s="386"/>
      <c r="G97" s="386"/>
      <c r="H97" s="386"/>
      <c r="I97" s="386"/>
      <c r="J97" s="386"/>
      <c r="K97" s="386"/>
      <c r="L97" s="386"/>
      <c r="M97" s="386"/>
      <c r="N97" s="386"/>
      <c r="O97" s="364"/>
      <c r="AF97" s="306"/>
      <c r="AG97" s="306"/>
      <c r="AJ97" s="303"/>
      <c r="AK97" s="304"/>
      <c r="AL97" s="303"/>
      <c r="AM97" s="303"/>
    </row>
    <row r="98" spans="1:39" ht="19.5" customHeight="1" x14ac:dyDescent="0.2">
      <c r="B98" s="386"/>
      <c r="C98" s="386"/>
      <c r="D98" s="386"/>
      <c r="E98" s="386"/>
      <c r="F98" s="386"/>
      <c r="G98" s="386"/>
      <c r="H98" s="386"/>
      <c r="I98" s="386"/>
      <c r="J98" s="386"/>
      <c r="K98" s="386"/>
      <c r="L98" s="386"/>
      <c r="M98" s="386"/>
      <c r="N98" s="386"/>
      <c r="O98" s="364"/>
      <c r="AF98" s="306"/>
      <c r="AG98" s="306"/>
      <c r="AJ98" s="303"/>
      <c r="AK98" s="304"/>
      <c r="AL98" s="303"/>
      <c r="AM98" s="303"/>
    </row>
    <row r="99" spans="1:39" ht="9.75" customHeight="1" x14ac:dyDescent="0.2">
      <c r="B99" s="369"/>
      <c r="C99" s="369"/>
      <c r="D99" s="269"/>
      <c r="E99" s="276"/>
      <c r="F99" s="269"/>
      <c r="G99" s="364"/>
      <c r="H99" s="364"/>
      <c r="I99" s="364"/>
      <c r="J99" s="364"/>
      <c r="K99" s="364"/>
      <c r="L99" s="364"/>
      <c r="M99" s="364"/>
      <c r="N99" s="364"/>
      <c r="O99" s="364"/>
      <c r="AF99" s="306"/>
      <c r="AG99" s="306"/>
      <c r="AJ99" s="303"/>
      <c r="AK99" s="304"/>
      <c r="AL99" s="303"/>
      <c r="AM99" s="303"/>
    </row>
    <row r="100" spans="1:39" ht="19.5" customHeight="1" x14ac:dyDescent="0.2">
      <c r="B100" s="366"/>
      <c r="C100" s="367"/>
      <c r="D100" s="367"/>
      <c r="E100" s="367"/>
      <c r="M100" s="276"/>
      <c r="AF100" s="306"/>
      <c r="AG100" s="306"/>
      <c r="AJ100" s="303"/>
      <c r="AK100" s="304"/>
      <c r="AL100" s="303"/>
      <c r="AM100" s="303"/>
    </row>
    <row r="101" spans="1:39" ht="19.5" customHeight="1" x14ac:dyDescent="0.2">
      <c r="B101" s="369"/>
      <c r="C101" s="369"/>
      <c r="D101" s="269"/>
      <c r="E101" s="276"/>
      <c r="F101" s="269"/>
      <c r="G101" s="364"/>
      <c r="H101" s="364"/>
      <c r="I101" s="364"/>
      <c r="K101" s="268"/>
      <c r="L101" s="269"/>
      <c r="M101" s="268"/>
      <c r="N101" s="269"/>
      <c r="O101" s="364"/>
      <c r="P101" s="369"/>
      <c r="Q101" s="364"/>
      <c r="R101" s="364"/>
      <c r="S101" s="364"/>
      <c r="T101" s="364"/>
      <c r="U101" s="364"/>
      <c r="V101" s="364"/>
      <c r="W101" s="364"/>
      <c r="X101" s="364"/>
      <c r="Y101" s="364"/>
      <c r="Z101" s="364"/>
      <c r="AA101" s="364"/>
      <c r="AB101" s="364"/>
      <c r="AC101" s="364"/>
      <c r="AD101" s="364"/>
      <c r="AE101" s="248"/>
      <c r="AF101" s="306"/>
      <c r="AG101" s="306"/>
      <c r="AJ101" s="303"/>
      <c r="AK101" s="304"/>
      <c r="AL101" s="303"/>
      <c r="AM101" s="303"/>
    </row>
    <row r="102" spans="1:39" ht="19.5" customHeight="1" x14ac:dyDescent="0.2">
      <c r="B102" s="369"/>
      <c r="C102" s="369"/>
      <c r="D102" s="269"/>
      <c r="E102" s="276"/>
      <c r="F102" s="276"/>
      <c r="G102" s="361"/>
      <c r="H102" s="361"/>
      <c r="I102" s="361"/>
      <c r="J102" s="361"/>
      <c r="K102" s="361"/>
      <c r="L102" s="361"/>
      <c r="M102" s="361"/>
      <c r="N102" s="361"/>
      <c r="O102" s="364"/>
      <c r="P102" s="369"/>
      <c r="Q102" s="369"/>
      <c r="R102" s="369"/>
      <c r="S102" s="377"/>
      <c r="T102" s="364"/>
      <c r="U102" s="369"/>
      <c r="V102" s="369"/>
      <c r="W102" s="377"/>
      <c r="X102" s="364"/>
      <c r="Y102" s="364"/>
      <c r="Z102" s="364"/>
      <c r="AA102" s="364"/>
      <c r="AB102" s="369"/>
      <c r="AC102" s="369"/>
      <c r="AD102" s="377"/>
      <c r="AE102" s="248"/>
      <c r="AF102" s="306"/>
      <c r="AG102" s="306"/>
      <c r="AJ102" s="303"/>
      <c r="AK102" s="304"/>
      <c r="AL102" s="303"/>
      <c r="AM102" s="303"/>
    </row>
    <row r="103" spans="1:39" ht="19.5" customHeight="1" x14ac:dyDescent="0.2">
      <c r="B103" s="386"/>
      <c r="C103" s="386"/>
      <c r="D103" s="386"/>
      <c r="E103" s="386"/>
      <c r="F103" s="386"/>
      <c r="G103" s="386"/>
      <c r="H103" s="386"/>
      <c r="I103" s="386"/>
      <c r="J103" s="386"/>
      <c r="K103" s="386"/>
      <c r="L103" s="386"/>
      <c r="M103" s="386"/>
      <c r="N103" s="386"/>
      <c r="O103" s="364"/>
      <c r="P103" s="369"/>
      <c r="Q103" s="364"/>
      <c r="R103" s="364"/>
      <c r="S103" s="364"/>
      <c r="T103" s="364"/>
      <c r="U103" s="364"/>
      <c r="V103" s="364"/>
      <c r="W103" s="364"/>
      <c r="AB103" s="268"/>
      <c r="AC103" s="269"/>
      <c r="AD103" s="268"/>
      <c r="AE103" s="269"/>
      <c r="AF103" s="306"/>
      <c r="AG103" s="306"/>
      <c r="AJ103" s="303"/>
      <c r="AK103" s="304"/>
      <c r="AL103" s="303"/>
      <c r="AM103" s="303"/>
    </row>
    <row r="104" spans="1:39" ht="19.5" customHeight="1" x14ac:dyDescent="0.2">
      <c r="B104" s="386"/>
      <c r="C104" s="386"/>
      <c r="D104" s="386"/>
      <c r="E104" s="386"/>
      <c r="F104" s="386"/>
      <c r="G104" s="386"/>
      <c r="H104" s="386"/>
      <c r="I104" s="386"/>
      <c r="J104" s="386"/>
      <c r="K104" s="386"/>
      <c r="L104" s="386"/>
      <c r="M104" s="386"/>
      <c r="N104" s="386"/>
      <c r="O104" s="364"/>
      <c r="P104" s="269"/>
      <c r="Q104" s="269"/>
      <c r="R104" s="269"/>
      <c r="S104" s="269"/>
      <c r="T104" s="361"/>
      <c r="U104" s="361"/>
      <c r="V104" s="361"/>
      <c r="W104" s="361"/>
      <c r="X104" s="361"/>
      <c r="Y104" s="361"/>
      <c r="Z104" s="361"/>
      <c r="AA104" s="361"/>
      <c r="AB104" s="361"/>
      <c r="AC104" s="361"/>
      <c r="AD104" s="361"/>
      <c r="AE104" s="361"/>
      <c r="AF104" s="306"/>
      <c r="AG104" s="306"/>
      <c r="AJ104" s="303"/>
      <c r="AK104" s="304"/>
      <c r="AL104" s="303"/>
      <c r="AM104" s="303"/>
    </row>
    <row r="105" spans="1:39" ht="19.5" customHeight="1" x14ac:dyDescent="0.2">
      <c r="B105" s="369"/>
      <c r="C105" s="369"/>
      <c r="D105" s="269"/>
      <c r="E105" s="276"/>
      <c r="F105" s="269"/>
      <c r="G105" s="364"/>
      <c r="H105" s="364"/>
      <c r="I105" s="364"/>
      <c r="J105" s="364"/>
      <c r="K105" s="364"/>
      <c r="L105" s="364"/>
      <c r="M105" s="364"/>
      <c r="N105" s="364"/>
      <c r="O105" s="364"/>
      <c r="P105" s="386"/>
      <c r="Q105" s="386"/>
      <c r="R105" s="386"/>
      <c r="S105" s="386"/>
      <c r="T105" s="386"/>
      <c r="U105" s="386"/>
      <c r="V105" s="386"/>
      <c r="W105" s="386"/>
      <c r="X105" s="386"/>
      <c r="Y105" s="386"/>
      <c r="Z105" s="386"/>
      <c r="AA105" s="386"/>
      <c r="AB105" s="386"/>
      <c r="AC105" s="386"/>
      <c r="AD105" s="386"/>
      <c r="AE105" s="386"/>
      <c r="AF105" s="306"/>
      <c r="AG105" s="306"/>
      <c r="AJ105" s="303"/>
      <c r="AK105" s="304"/>
      <c r="AL105" s="303"/>
      <c r="AM105" s="303"/>
    </row>
    <row r="106" spans="1:39" ht="19.5" customHeight="1" x14ac:dyDescent="0.2">
      <c r="B106" s="276"/>
      <c r="C106" s="386"/>
      <c r="D106" s="386"/>
      <c r="E106" s="386"/>
      <c r="F106" s="386"/>
      <c r="G106" s="386"/>
      <c r="H106" s="386"/>
      <c r="I106" s="386"/>
      <c r="J106" s="386"/>
      <c r="K106" s="386"/>
      <c r="L106" s="386"/>
      <c r="M106" s="386"/>
      <c r="N106" s="386"/>
      <c r="O106" s="364"/>
      <c r="P106" s="269"/>
      <c r="Q106" s="273"/>
      <c r="R106" s="273"/>
      <c r="S106" s="273"/>
      <c r="T106" s="273"/>
      <c r="U106" s="273"/>
      <c r="V106" s="273"/>
      <c r="W106" s="273"/>
      <c r="AB106" s="268"/>
      <c r="AC106" s="269"/>
      <c r="AD106" s="268"/>
      <c r="AE106" s="269"/>
      <c r="AF106" s="306"/>
      <c r="AG106" s="306"/>
      <c r="AJ106" s="303"/>
      <c r="AK106" s="304"/>
      <c r="AL106" s="303"/>
      <c r="AM106" s="303"/>
    </row>
    <row r="107" spans="1:39" ht="19.5" customHeight="1" x14ac:dyDescent="0.2">
      <c r="B107" s="386"/>
      <c r="C107" s="386"/>
      <c r="D107" s="386"/>
      <c r="E107" s="386"/>
      <c r="F107" s="386"/>
      <c r="G107" s="386"/>
      <c r="H107" s="386"/>
      <c r="I107" s="386"/>
      <c r="J107" s="386"/>
      <c r="K107" s="386"/>
      <c r="L107" s="386"/>
      <c r="M107" s="386"/>
      <c r="N107" s="386"/>
      <c r="O107" s="356"/>
      <c r="P107" s="269"/>
      <c r="Q107" s="269"/>
      <c r="R107" s="269"/>
      <c r="S107" s="269"/>
      <c r="T107" s="269"/>
      <c r="U107" s="269"/>
      <c r="V107" s="269"/>
      <c r="W107" s="269"/>
      <c r="AB107" s="268"/>
      <c r="AC107" s="269"/>
      <c r="AD107" s="268"/>
      <c r="AE107" s="269"/>
      <c r="AF107" s="306"/>
      <c r="AG107" s="306"/>
      <c r="AJ107" s="303"/>
      <c r="AK107" s="304"/>
      <c r="AL107" s="303"/>
      <c r="AM107" s="303"/>
    </row>
    <row r="108" spans="1:39" ht="19.5" customHeight="1" x14ac:dyDescent="0.2">
      <c r="B108" s="386"/>
      <c r="C108" s="386"/>
      <c r="D108" s="386"/>
      <c r="E108" s="386"/>
      <c r="F108" s="386"/>
      <c r="G108" s="386"/>
      <c r="H108" s="386"/>
      <c r="I108" s="386"/>
      <c r="J108" s="386"/>
      <c r="K108" s="386"/>
      <c r="L108" s="386"/>
      <c r="M108" s="386"/>
      <c r="N108" s="386"/>
      <c r="O108" s="356"/>
      <c r="P108" s="269"/>
      <c r="Q108" s="269"/>
      <c r="R108" s="269"/>
      <c r="S108" s="269"/>
      <c r="T108" s="269"/>
      <c r="U108" s="269"/>
      <c r="V108" s="269"/>
      <c r="W108" s="269"/>
      <c r="X108" s="269"/>
      <c r="Y108" s="269"/>
      <c r="Z108" s="269"/>
      <c r="AA108" s="269"/>
      <c r="AB108" s="269"/>
      <c r="AC108" s="269"/>
      <c r="AD108" s="269"/>
      <c r="AE108" s="269"/>
      <c r="AF108" s="306"/>
      <c r="AG108" s="306"/>
      <c r="AJ108" s="303"/>
      <c r="AK108" s="304"/>
      <c r="AL108" s="303"/>
      <c r="AM108" s="303"/>
    </row>
    <row r="109" spans="1:39" ht="19.5" customHeight="1" x14ac:dyDescent="0.2">
      <c r="B109" s="386"/>
      <c r="C109" s="386"/>
      <c r="D109" s="386"/>
      <c r="E109" s="386"/>
      <c r="F109" s="386"/>
      <c r="G109" s="386"/>
      <c r="H109" s="386"/>
      <c r="I109" s="386"/>
      <c r="J109" s="386"/>
      <c r="K109" s="386"/>
      <c r="L109" s="386"/>
      <c r="M109" s="386"/>
      <c r="N109" s="386"/>
      <c r="O109" s="356"/>
      <c r="P109" s="276"/>
      <c r="Q109" s="386"/>
      <c r="R109" s="386"/>
      <c r="S109" s="386"/>
      <c r="T109" s="386"/>
      <c r="U109" s="386"/>
      <c r="V109" s="386"/>
      <c r="W109" s="386"/>
      <c r="X109" s="386"/>
      <c r="Y109" s="386"/>
      <c r="Z109" s="386"/>
      <c r="AA109" s="386"/>
      <c r="AB109" s="386"/>
      <c r="AC109" s="386"/>
      <c r="AD109" s="386"/>
      <c r="AE109" s="386"/>
      <c r="AF109" s="306"/>
      <c r="AG109" s="306"/>
      <c r="AJ109" s="303"/>
      <c r="AK109" s="304"/>
      <c r="AL109" s="303"/>
      <c r="AM109" s="303"/>
    </row>
    <row r="110" spans="1:39" ht="19.5" customHeight="1" x14ac:dyDescent="0.2">
      <c r="B110" s="386"/>
      <c r="C110" s="386"/>
      <c r="D110" s="386"/>
      <c r="E110" s="386"/>
      <c r="F110" s="386"/>
      <c r="G110" s="386"/>
      <c r="H110" s="386"/>
      <c r="I110" s="386"/>
      <c r="J110" s="386"/>
      <c r="K110" s="386"/>
      <c r="L110" s="386"/>
      <c r="M110" s="386"/>
      <c r="N110" s="386"/>
      <c r="P110" s="386"/>
      <c r="Q110" s="386"/>
      <c r="R110" s="386"/>
      <c r="S110" s="386"/>
      <c r="T110" s="386"/>
      <c r="U110" s="386"/>
      <c r="V110" s="386"/>
      <c r="W110" s="386"/>
      <c r="X110" s="386"/>
      <c r="Y110" s="386"/>
      <c r="Z110" s="386"/>
      <c r="AA110" s="386"/>
      <c r="AB110" s="386"/>
      <c r="AC110" s="386"/>
      <c r="AD110" s="386"/>
      <c r="AE110" s="386"/>
      <c r="AF110" s="306"/>
      <c r="AG110" s="306"/>
      <c r="AJ110" s="303"/>
      <c r="AK110" s="304"/>
      <c r="AL110" s="303"/>
      <c r="AM110" s="303"/>
    </row>
    <row r="111" spans="1:39" ht="19.5" customHeight="1" x14ac:dyDescent="0.2">
      <c r="B111" s="269"/>
      <c r="C111" s="269"/>
      <c r="D111" s="269"/>
      <c r="E111" s="269"/>
      <c r="F111" s="269"/>
      <c r="G111" s="269"/>
      <c r="H111" s="269"/>
      <c r="I111" s="269"/>
      <c r="J111" s="269"/>
      <c r="K111" s="269"/>
      <c r="L111" s="269"/>
      <c r="M111" s="269"/>
      <c r="N111" s="269"/>
      <c r="P111" s="390"/>
      <c r="Q111" s="390"/>
      <c r="R111" s="390"/>
      <c r="S111" s="390"/>
      <c r="T111" s="390"/>
      <c r="U111" s="390"/>
      <c r="V111" s="390"/>
      <c r="W111" s="390"/>
      <c r="X111" s="390"/>
      <c r="Y111" s="390"/>
      <c r="Z111" s="390"/>
      <c r="AA111" s="390"/>
      <c r="AB111" s="390"/>
      <c r="AC111" s="269"/>
      <c r="AD111" s="269"/>
      <c r="AE111" s="269"/>
    </row>
    <row r="112" spans="1:39" ht="23.25" customHeight="1" x14ac:dyDescent="0.2">
      <c r="A112" s="249"/>
      <c r="B112" s="249"/>
      <c r="C112" s="249"/>
      <c r="D112" s="249"/>
      <c r="E112" s="249"/>
      <c r="F112" s="249"/>
      <c r="G112" s="249"/>
      <c r="H112" s="249"/>
      <c r="I112" s="249"/>
      <c r="J112" s="249"/>
      <c r="K112" s="249"/>
      <c r="L112" s="249"/>
      <c r="M112" s="249"/>
      <c r="N112" s="249"/>
      <c r="P112" s="390"/>
      <c r="Q112" s="390"/>
      <c r="R112" s="390"/>
      <c r="S112" s="390"/>
      <c r="T112" s="390"/>
      <c r="U112" s="390"/>
      <c r="V112" s="390"/>
      <c r="W112" s="390"/>
      <c r="X112" s="390"/>
      <c r="Y112" s="390"/>
      <c r="Z112" s="390"/>
      <c r="AA112" s="390"/>
      <c r="AB112" s="391"/>
      <c r="AC112" s="269"/>
      <c r="AD112" s="269"/>
      <c r="AE112" s="269"/>
    </row>
    <row r="113" spans="1:31" ht="19.5" customHeight="1" x14ac:dyDescent="0.2">
      <c r="B113" s="269"/>
      <c r="C113" s="269"/>
      <c r="D113" s="269"/>
      <c r="E113" s="269"/>
      <c r="F113" s="269"/>
      <c r="G113" s="269"/>
      <c r="H113" s="269"/>
      <c r="I113" s="269"/>
      <c r="J113" s="269"/>
      <c r="K113" s="269"/>
      <c r="L113" s="269"/>
      <c r="M113" s="269"/>
      <c r="N113" s="269"/>
      <c r="P113" s="390"/>
      <c r="Q113" s="390"/>
      <c r="R113" s="390"/>
      <c r="S113" s="390"/>
      <c r="T113" s="390"/>
      <c r="U113" s="390"/>
      <c r="V113" s="390"/>
      <c r="W113" s="390"/>
      <c r="X113" s="390"/>
      <c r="Y113" s="390"/>
      <c r="Z113" s="390"/>
      <c r="AA113" s="390"/>
      <c r="AB113" s="390"/>
      <c r="AC113" s="269"/>
      <c r="AD113" s="269"/>
      <c r="AE113" s="269"/>
    </row>
    <row r="114" spans="1:31" ht="39" customHeight="1" x14ac:dyDescent="0.2">
      <c r="B114" s="288"/>
      <c r="C114" s="288"/>
      <c r="D114" s="288"/>
      <c r="E114" s="288"/>
      <c r="F114" s="288"/>
      <c r="G114" s="288"/>
      <c r="I114" s="288"/>
      <c r="J114" s="288"/>
      <c r="K114" s="288"/>
      <c r="L114" s="288"/>
      <c r="M114" s="288"/>
      <c r="N114" s="288"/>
      <c r="P114" s="392"/>
      <c r="Q114" s="392"/>
      <c r="R114" s="392"/>
      <c r="S114" s="392"/>
      <c r="T114" s="392"/>
      <c r="U114" s="392"/>
      <c r="W114" s="288"/>
      <c r="X114" s="288"/>
      <c r="Y114" s="288"/>
      <c r="Z114" s="288"/>
      <c r="AA114" s="288"/>
      <c r="AB114" s="288"/>
      <c r="AC114" s="288"/>
      <c r="AD114" s="288"/>
      <c r="AE114" s="288"/>
    </row>
    <row r="115" spans="1:31" ht="19.5" customHeight="1" x14ac:dyDescent="0.2">
      <c r="A115" s="249"/>
    </row>
    <row r="116" spans="1:31" ht="19.5" customHeight="1" x14ac:dyDescent="0.2"/>
    <row r="117" spans="1:31" ht="19.5" customHeight="1" x14ac:dyDescent="0.2"/>
    <row r="118" spans="1:31" ht="19.5" customHeight="1" x14ac:dyDescent="0.2"/>
    <row r="119" spans="1:31" ht="19.5" customHeight="1" x14ac:dyDescent="0.2"/>
    <row r="120" spans="1:31" ht="19.5" customHeight="1" x14ac:dyDescent="0.2"/>
    <row r="121" spans="1:31" ht="19.5" customHeight="1" x14ac:dyDescent="0.2"/>
    <row r="122" spans="1:31" ht="19.5" customHeight="1" x14ac:dyDescent="0.2"/>
    <row r="123" spans="1:31" ht="19.5" customHeight="1" x14ac:dyDescent="0.2"/>
  </sheetData>
  <mergeCells count="126">
    <mergeCell ref="AB16:AC16"/>
    <mergeCell ref="W18:X18"/>
    <mergeCell ref="J17:K17"/>
    <mergeCell ref="M17:N17"/>
    <mergeCell ref="J18:K18"/>
    <mergeCell ref="M18:N18"/>
    <mergeCell ref="J13:K13"/>
    <mergeCell ref="J27:K27"/>
    <mergeCell ref="J25:K25"/>
    <mergeCell ref="M25:N25"/>
    <mergeCell ref="J26:K26"/>
    <mergeCell ref="J19:K19"/>
    <mergeCell ref="M19:N19"/>
    <mergeCell ref="J20:K20"/>
    <mergeCell ref="M20:N20"/>
    <mergeCell ref="J16:K16"/>
    <mergeCell ref="W12:X12"/>
    <mergeCell ref="AB12:AC12"/>
    <mergeCell ref="P13:T14"/>
    <mergeCell ref="AB18:AC18"/>
    <mergeCell ref="W35:X35"/>
    <mergeCell ref="AB35:AC35"/>
    <mergeCell ref="M23:N23"/>
    <mergeCell ref="P24:T25"/>
    <mergeCell ref="W25:X25"/>
    <mergeCell ref="AB25:AC25"/>
    <mergeCell ref="P26:T27"/>
    <mergeCell ref="W27:X27"/>
    <mergeCell ref="AB27:AC27"/>
    <mergeCell ref="M26:N26"/>
    <mergeCell ref="W29:X29"/>
    <mergeCell ref="AB29:AC29"/>
    <mergeCell ref="P28:T29"/>
    <mergeCell ref="W20:X20"/>
    <mergeCell ref="AB20:AC20"/>
    <mergeCell ref="M27:N27"/>
    <mergeCell ref="W14:X14"/>
    <mergeCell ref="AB14:AC14"/>
    <mergeCell ref="P15:T16"/>
    <mergeCell ref="W16:X16"/>
    <mergeCell ref="W40:X40"/>
    <mergeCell ref="AB40:AC40"/>
    <mergeCell ref="P42:T43"/>
    <mergeCell ref="W43:X43"/>
    <mergeCell ref="AB43:AC43"/>
    <mergeCell ref="J44:K44"/>
    <mergeCell ref="M44:N44"/>
    <mergeCell ref="P45:T46"/>
    <mergeCell ref="W46:X46"/>
    <mergeCell ref="AB46:AC46"/>
    <mergeCell ref="J42:K42"/>
    <mergeCell ref="M42:N42"/>
    <mergeCell ref="J40:K40"/>
    <mergeCell ref="M40:N40"/>
    <mergeCell ref="M39:N39"/>
    <mergeCell ref="H1:J1"/>
    <mergeCell ref="K1:AE1"/>
    <mergeCell ref="B5:N8"/>
    <mergeCell ref="W6:X6"/>
    <mergeCell ref="AB6:AC6"/>
    <mergeCell ref="W8:X8"/>
    <mergeCell ref="AB8:AC8"/>
    <mergeCell ref="P9:T10"/>
    <mergeCell ref="J10:K10"/>
    <mergeCell ref="M10:N10"/>
    <mergeCell ref="W10:X10"/>
    <mergeCell ref="AB10:AC10"/>
    <mergeCell ref="AC2:AE2"/>
    <mergeCell ref="AA2:AB2"/>
    <mergeCell ref="W37:X37"/>
    <mergeCell ref="AB37:AC37"/>
    <mergeCell ref="W22:X22"/>
    <mergeCell ref="AB22:AC22"/>
    <mergeCell ref="M13:N13"/>
    <mergeCell ref="W31:X31"/>
    <mergeCell ref="AB31:AC31"/>
    <mergeCell ref="W33:X33"/>
    <mergeCell ref="AB33:AC33"/>
    <mergeCell ref="C57:M58"/>
    <mergeCell ref="W48:X48"/>
    <mergeCell ref="AB48:AC48"/>
    <mergeCell ref="W50:X50"/>
    <mergeCell ref="AB50:AC50"/>
    <mergeCell ref="J14:K14"/>
    <mergeCell ref="M14:N14"/>
    <mergeCell ref="J15:K15"/>
    <mergeCell ref="M15:N15"/>
    <mergeCell ref="J31:K31"/>
    <mergeCell ref="M31:N31"/>
    <mergeCell ref="J24:K24"/>
    <mergeCell ref="M24:N24"/>
    <mergeCell ref="P34:T35"/>
    <mergeCell ref="P39:T40"/>
    <mergeCell ref="P30:T31"/>
    <mergeCell ref="P32:T33"/>
    <mergeCell ref="J46:K46"/>
    <mergeCell ref="M46:N46"/>
    <mergeCell ref="M36:N36"/>
    <mergeCell ref="J37:K37"/>
    <mergeCell ref="M37:N37"/>
    <mergeCell ref="J32:K32"/>
    <mergeCell ref="M32:N32"/>
    <mergeCell ref="J30:K30"/>
    <mergeCell ref="J35:K35"/>
    <mergeCell ref="M35:N35"/>
    <mergeCell ref="J36:K36"/>
    <mergeCell ref="M16:N16"/>
    <mergeCell ref="J23:K23"/>
    <mergeCell ref="AT7:AT12"/>
    <mergeCell ref="C49:M55"/>
    <mergeCell ref="J11:K11"/>
    <mergeCell ref="M11:N11"/>
    <mergeCell ref="J12:K12"/>
    <mergeCell ref="M12:N12"/>
    <mergeCell ref="J33:K33"/>
    <mergeCell ref="M33:N33"/>
    <mergeCell ref="J34:K34"/>
    <mergeCell ref="M34:N34"/>
    <mergeCell ref="M30:N30"/>
    <mergeCell ref="J45:K45"/>
    <mergeCell ref="M45:N45"/>
    <mergeCell ref="J41:K41"/>
    <mergeCell ref="M41:N41"/>
    <mergeCell ref="J38:K38"/>
    <mergeCell ref="M38:N38"/>
    <mergeCell ref="J39:K39"/>
  </mergeCells>
  <phoneticPr fontId="7" type="noConversion"/>
  <conditionalFormatting sqref="G32">
    <cfRule type="expression" dxfId="220" priority="50">
      <formula>OR($J$32&gt;0.6,$N$32&gt;0.6)</formula>
    </cfRule>
  </conditionalFormatting>
  <conditionalFormatting sqref="Z10">
    <cfRule type="expression" dxfId="219" priority="51" stopIfTrue="1">
      <formula>AND($W$10&gt;=1,$W$10&lt;=3)</formula>
    </cfRule>
    <cfRule type="expression" dxfId="218" priority="52" stopIfTrue="1">
      <formula>OR($W$10&lt;0.8,$W$10&gt;=3.3)</formula>
    </cfRule>
    <cfRule type="expression" dxfId="217" priority="53" stopIfTrue="1">
      <formula>OR(AND($W$10&gt;=0.8,$W$10&lt;1),AND($W$10&gt;3,$W$10&lt;3.3))</formula>
    </cfRule>
  </conditionalFormatting>
  <conditionalFormatting sqref="AE10">
    <cfRule type="expression" dxfId="216" priority="47" stopIfTrue="1">
      <formula>AND($AB$10&gt;=1,$AB$10&lt;=3)</formula>
    </cfRule>
    <cfRule type="expression" dxfId="215" priority="48" stopIfTrue="1">
      <formula>OR($AB$10&lt;0.8,$AB$10&gt;=3.3)</formula>
    </cfRule>
    <cfRule type="expression" dxfId="214" priority="49" stopIfTrue="1">
      <formula>OR(AND($AB$10&gt;=0.8,$AB$10&lt;1),AND($AB$10&gt;3,$AB$10&lt;3.3))</formula>
    </cfRule>
  </conditionalFormatting>
  <conditionalFormatting sqref="Z12">
    <cfRule type="expression" dxfId="213" priority="54" stopIfTrue="1">
      <formula>AND($W$12&gt;=25,$W$12&lt;=70)</formula>
    </cfRule>
    <cfRule type="expression" dxfId="212" priority="55" stopIfTrue="1">
      <formula>OR($W$12&lt;20,$W$12&gt;75)</formula>
    </cfRule>
    <cfRule type="expression" dxfId="211" priority="56" stopIfTrue="1">
      <formula>OR(AND($W$12&gt;=20,$W$12&lt;25),AND($W$12&gt;70,$W$12&lt;=75))</formula>
    </cfRule>
  </conditionalFormatting>
  <conditionalFormatting sqref="AE12">
    <cfRule type="expression" dxfId="210" priority="44" stopIfTrue="1">
      <formula>AND($AB$12&gt;=25,$AB$12&lt;=70)</formula>
    </cfRule>
    <cfRule type="expression" dxfId="209" priority="45" stopIfTrue="1">
      <formula>OR($AB$12&lt;20,$AB$12&gt;75)</formula>
    </cfRule>
    <cfRule type="expression" dxfId="208" priority="46" stopIfTrue="1">
      <formula>OR(AND($AB$12&gt;=20,$AB$12&lt;25),AND($AB$12&gt;70,$AB$12&lt;=75))</formula>
    </cfRule>
  </conditionalFormatting>
  <conditionalFormatting sqref="Z20">
    <cfRule type="expression" dxfId="207" priority="63" stopIfTrue="1">
      <formula>AND($W$20&gt;=3,$W$20&lt;=6)</formula>
    </cfRule>
    <cfRule type="expression" dxfId="206" priority="64" stopIfTrue="1">
      <formula>AND($W$20&gt;6,$W$20&lt;10)</formula>
    </cfRule>
    <cfRule type="expression" dxfId="205" priority="65" stopIfTrue="1">
      <formula>OR($W$20&lt;=3,$W$20&gt;=10)</formula>
    </cfRule>
  </conditionalFormatting>
  <conditionalFormatting sqref="AE20">
    <cfRule type="expression" dxfId="204" priority="35" stopIfTrue="1">
      <formula>AND($AB$20&gt;=3,$AB$20&lt;=6)</formula>
    </cfRule>
    <cfRule type="expression" dxfId="203" priority="36" stopIfTrue="1">
      <formula>AND($AB$20&gt;6,$AB$20&lt;10)</formula>
    </cfRule>
    <cfRule type="expression" dxfId="202" priority="37" stopIfTrue="1">
      <formula>OR($AB$20&lt;=3,$AB$20&gt;=10)</formula>
    </cfRule>
  </conditionalFormatting>
  <conditionalFormatting sqref="Z22">
    <cfRule type="expression" dxfId="201" priority="66" stopIfTrue="1">
      <formula>$W$22&lt;=0</formula>
    </cfRule>
  </conditionalFormatting>
  <conditionalFormatting sqref="AE22">
    <cfRule type="expression" dxfId="200" priority="34" stopIfTrue="1">
      <formula>$AB$22&lt;=0</formula>
    </cfRule>
  </conditionalFormatting>
  <conditionalFormatting sqref="Z29">
    <cfRule type="expression" dxfId="199" priority="67" stopIfTrue="1">
      <formula>$W$29&gt;=2</formula>
    </cfRule>
    <cfRule type="expression" dxfId="198" priority="68" stopIfTrue="1">
      <formula>AND($W$29&gt;=0,$W$29&lt;2)</formula>
    </cfRule>
    <cfRule type="expression" dxfId="197" priority="69" stopIfTrue="1">
      <formula>$W$29&lt;=0</formula>
    </cfRule>
  </conditionalFormatting>
  <conditionalFormatting sqref="Z31">
    <cfRule type="expression" dxfId="196" priority="70" stopIfTrue="1">
      <formula>AND($W$31&gt;0,$W$31&lt;=3)</formula>
    </cfRule>
    <cfRule type="expression" dxfId="195" priority="71" stopIfTrue="1">
      <formula>$W$31=0</formula>
    </cfRule>
    <cfRule type="expression" dxfId="194" priority="72" stopIfTrue="1">
      <formula>$W$31&gt;3</formula>
    </cfRule>
  </conditionalFormatting>
  <conditionalFormatting sqref="AE29">
    <cfRule type="expression" dxfId="193" priority="28" stopIfTrue="1">
      <formula>$AB$29&gt;=2</formula>
    </cfRule>
    <cfRule type="expression" dxfId="192" priority="29" stopIfTrue="1">
      <formula>AND($AB$29&gt;=0,$AB$29&lt;2)</formula>
    </cfRule>
    <cfRule type="expression" dxfId="191" priority="30" stopIfTrue="1">
      <formula>$AB$29&lt;=0</formula>
    </cfRule>
  </conditionalFormatting>
  <conditionalFormatting sqref="AE31">
    <cfRule type="expression" dxfId="190" priority="31" stopIfTrue="1">
      <formula>AND($AB$31&gt;0,$AB$31&lt;=3)</formula>
    </cfRule>
    <cfRule type="expression" dxfId="189" priority="32" stopIfTrue="1">
      <formula>$AB$31=0</formula>
    </cfRule>
    <cfRule type="expression" dxfId="188" priority="33" stopIfTrue="1">
      <formula>$AB$31&gt;3</formula>
    </cfRule>
  </conditionalFormatting>
  <conditionalFormatting sqref="Z33">
    <cfRule type="expression" dxfId="187" priority="73" stopIfTrue="1">
      <formula>$W$33&lt;3</formula>
    </cfRule>
    <cfRule type="expression" dxfId="186" priority="74" stopIfTrue="1">
      <formula>AND($W$33&gt;=3,$W$33&lt;=5)</formula>
    </cfRule>
    <cfRule type="expression" dxfId="185" priority="75" stopIfTrue="1">
      <formula>$W$33&gt;5</formula>
    </cfRule>
  </conditionalFormatting>
  <conditionalFormatting sqref="Z35">
    <cfRule type="expression" dxfId="184" priority="76" stopIfTrue="1">
      <formula>$W$35&lt;5</formula>
    </cfRule>
    <cfRule type="expression" dxfId="183" priority="77" stopIfTrue="1">
      <formula>AND($W$35&gt;=5,$W$35&lt;=10)</formula>
    </cfRule>
    <cfRule type="expression" dxfId="182" priority="78" stopIfTrue="1">
      <formula>$W$35&gt;10</formula>
    </cfRule>
  </conditionalFormatting>
  <conditionalFormatting sqref="AE33">
    <cfRule type="expression" dxfId="181" priority="22" stopIfTrue="1">
      <formula>$AB$33&lt;3</formula>
    </cfRule>
    <cfRule type="expression" dxfId="180" priority="23" stopIfTrue="1">
      <formula>AND($AB$33&gt;=3,$AB$33&lt;=5)</formula>
    </cfRule>
    <cfRule type="expression" dxfId="179" priority="24" stopIfTrue="1">
      <formula>$AB$33&gt;5</formula>
    </cfRule>
  </conditionalFormatting>
  <conditionalFormatting sqref="AE35">
    <cfRule type="expression" dxfId="178" priority="25" stopIfTrue="1">
      <formula>$AB$35&lt;5</formula>
    </cfRule>
    <cfRule type="expression" dxfId="177" priority="26" stopIfTrue="1">
      <formula>AND($AB$35&gt;=5,$AB$35&lt;=10)</formula>
    </cfRule>
    <cfRule type="expression" dxfId="176" priority="27" stopIfTrue="1">
      <formula>$AB$35&gt;10</formula>
    </cfRule>
  </conditionalFormatting>
  <conditionalFormatting sqref="Z46">
    <cfRule type="expression" dxfId="175" priority="79" stopIfTrue="1">
      <formula>$W$46&lt;=90</formula>
    </cfRule>
    <cfRule type="expression" dxfId="174" priority="80" stopIfTrue="1">
      <formula>AND($W$46&gt;90,$W$46&lt;=100)</formula>
    </cfRule>
    <cfRule type="expression" dxfId="173" priority="81" stopIfTrue="1">
      <formula>$W$46&gt;100</formula>
    </cfRule>
  </conditionalFormatting>
  <conditionalFormatting sqref="Z43">
    <cfRule type="expression" dxfId="172" priority="82" stopIfTrue="1">
      <formula>$W$43&lt;=100</formula>
    </cfRule>
    <cfRule type="expression" dxfId="171" priority="83" stopIfTrue="1">
      <formula>AND($W$43&gt;100,$W$46&lt;=100)</formula>
    </cfRule>
    <cfRule type="expression" dxfId="170" priority="84" stopIfTrue="1">
      <formula>$W$46&gt;100</formula>
    </cfRule>
  </conditionalFormatting>
  <conditionalFormatting sqref="AE43">
    <cfRule type="expression" dxfId="169" priority="19" stopIfTrue="1">
      <formula>$AB$43&lt;=100</formula>
    </cfRule>
    <cfRule type="expression" dxfId="168" priority="20" stopIfTrue="1">
      <formula>AND($AB$43&gt;100,$AB$46&lt;=100)</formula>
    </cfRule>
    <cfRule type="expression" dxfId="167" priority="21" stopIfTrue="1">
      <formula>$AB$46&gt;100</formula>
    </cfRule>
  </conditionalFormatting>
  <conditionalFormatting sqref="AE46">
    <cfRule type="expression" dxfId="166" priority="16" stopIfTrue="1">
      <formula>$AB$46&lt;=90</formula>
    </cfRule>
    <cfRule type="expression" dxfId="165" priority="17" stopIfTrue="1">
      <formula>AND($AB$46&gt;90,$AB$46&lt;=100)</formula>
    </cfRule>
    <cfRule type="expression" dxfId="164" priority="18" stopIfTrue="1">
      <formula>$AB$46&gt;100</formula>
    </cfRule>
  </conditionalFormatting>
  <conditionalFormatting sqref="Z40">
    <cfRule type="expression" dxfId="163" priority="85" stopIfTrue="1">
      <formula>$W$40&lt;=$J$11</formula>
    </cfRule>
    <cfRule type="expression" dxfId="162" priority="86" stopIfTrue="1">
      <formula>AND($W$40&gt;$J$11,$W$40&lt;=$J$10)</formula>
    </cfRule>
    <cfRule type="expression" dxfId="161" priority="87" stopIfTrue="1">
      <formula>$W$40&gt;$J$10</formula>
    </cfRule>
  </conditionalFormatting>
  <conditionalFormatting sqref="AE40">
    <cfRule type="expression" dxfId="160" priority="88" stopIfTrue="1">
      <formula>$AB$40&lt;=$M$11</formula>
    </cfRule>
    <cfRule type="expression" dxfId="159" priority="89" stopIfTrue="1">
      <formula>AND($AB$40&gt;$M$11,$AB$40&lt;=$M$10)</formula>
    </cfRule>
    <cfRule type="expression" dxfId="158" priority="90" stopIfTrue="1">
      <formula>$AB$40&gt;$M$10</formula>
    </cfRule>
  </conditionalFormatting>
  <conditionalFormatting sqref="Z14">
    <cfRule type="expression" dxfId="157" priority="15" stopIfTrue="1">
      <formula>$W$22&lt;=0</formula>
    </cfRule>
  </conditionalFormatting>
  <conditionalFormatting sqref="Z16">
    <cfRule type="expression" dxfId="156" priority="14" stopIfTrue="1">
      <formula>$W$22&lt;=0</formula>
    </cfRule>
  </conditionalFormatting>
  <conditionalFormatting sqref="AE14">
    <cfRule type="expression" dxfId="155" priority="13" stopIfTrue="1">
      <formula>$W$22&lt;=0</formula>
    </cfRule>
  </conditionalFormatting>
  <conditionalFormatting sqref="AE16">
    <cfRule type="expression" dxfId="154" priority="12" stopIfTrue="1">
      <formula>$W$22&lt;=0</formula>
    </cfRule>
  </conditionalFormatting>
  <conditionalFormatting sqref="AV45:AV46">
    <cfRule type="cellIs" dxfId="153" priority="6" operator="equal">
      <formula>"E"</formula>
    </cfRule>
  </conditionalFormatting>
  <conditionalFormatting sqref="AV10:AV16 AV19">
    <cfRule type="cellIs" dxfId="152" priority="5" operator="equal">
      <formula>"E"</formula>
    </cfRule>
  </conditionalFormatting>
  <conditionalFormatting sqref="AV22:AV27">
    <cfRule type="cellIs" dxfId="151" priority="2" operator="equal">
      <formula>"E"</formula>
    </cfRule>
  </conditionalFormatting>
  <conditionalFormatting sqref="AV29">
    <cfRule type="cellIs" dxfId="150" priority="3" operator="equal">
      <formula>"E"</formula>
    </cfRule>
  </conditionalFormatting>
  <conditionalFormatting sqref="AV31">
    <cfRule type="cellIs" dxfId="149" priority="1" operator="equal">
      <formula>"E"</formula>
    </cfRule>
  </conditionalFormatting>
  <conditionalFormatting sqref="AV34:AV40">
    <cfRule type="cellIs" dxfId="148" priority="4" operator="equal">
      <formula>"E"</formula>
    </cfRule>
  </conditionalFormatting>
  <pageMargins left="0.25" right="0.25" top="0.75" bottom="0.75" header="0.3" footer="0.3"/>
  <pageSetup paperSize="8" scale="61" orientation="landscape" r:id="rId1"/>
  <headerFooter scaleWithDoc="0">
    <oddHeader>&amp;R&amp;"Univers,Fett"
&amp;G</oddHeader>
    <oddFooter xml:space="preserve">&amp;L&amp;8Verfasser: NN/NN
Datei:  &amp;F
Copyright by Brose. Alle Rechte vorbehalten&amp;C&amp;8Seite: &amp;P/&amp;N
&amp;R&amp;8Stand: 
Index: 100
</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4817" r:id="rId5" name="Drop Down 1">
              <controlPr defaultSize="0" print="0" autoLine="0" autoPict="0" macro="[0]!Dropdown2_BeiÄnderung">
                <anchor moveWithCells="1">
                  <from>
                    <xdr:col>1</xdr:col>
                    <xdr:colOff>66675</xdr:colOff>
                    <xdr:row>0</xdr:row>
                    <xdr:rowOff>114300</xdr:rowOff>
                  </from>
                  <to>
                    <xdr:col>6</xdr:col>
                    <xdr:colOff>200025</xdr:colOff>
                    <xdr:row>0</xdr:row>
                    <xdr:rowOff>371475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F079B-C420-49E0-A4E6-FFEAA6EEB3F3}">
  <sheetPr codeName="Tabelle2">
    <outlinePr summaryBelow="0" summaryRight="0"/>
    <pageSetUpPr fitToPage="1"/>
  </sheetPr>
  <dimension ref="A1:AY123"/>
  <sheetViews>
    <sheetView showGridLines="0" topLeftCell="A17" zoomScaleNormal="100" workbookViewId="0">
      <selection activeCell="AF9" sqref="AF9"/>
    </sheetView>
  </sheetViews>
  <sheetFormatPr baseColWidth="10" defaultColWidth="11" defaultRowHeight="12.75" outlineLevelCol="1" x14ac:dyDescent="0.2"/>
  <cols>
    <col min="1" max="1" width="1.5" style="301" customWidth="1"/>
    <col min="2" max="12" width="4.875" style="246" customWidth="1"/>
    <col min="13" max="13" width="4.875" style="248" customWidth="1"/>
    <col min="14" max="14" width="4.875" style="246" customWidth="1"/>
    <col min="15" max="15" width="3.875" style="249" customWidth="1"/>
    <col min="16" max="19" width="5.875" style="246" customWidth="1"/>
    <col min="20" max="20" width="4.875" style="246" customWidth="1"/>
    <col min="21" max="21" width="1.875" style="246" customWidth="1"/>
    <col min="22" max="22" width="4.875" style="246" customWidth="1"/>
    <col min="23" max="24" width="4.625" style="246" customWidth="1"/>
    <col min="25" max="25" width="1.25" style="246" customWidth="1"/>
    <col min="26" max="26" width="2.125" style="246" customWidth="1"/>
    <col min="27" max="27" width="1.25" style="246" customWidth="1"/>
    <col min="28" max="29" width="4.625" style="246" customWidth="1"/>
    <col min="30" max="30" width="1.25" style="246" customWidth="1"/>
    <col min="31" max="31" width="2.125" style="246" customWidth="1"/>
    <col min="32" max="32" width="2.25" style="246" customWidth="1"/>
    <col min="33" max="33" width="2.25" style="246" customWidth="1" collapsed="1"/>
    <col min="34" max="34" width="54.5" style="305" hidden="1" customWidth="1" outlineLevel="1"/>
    <col min="35" max="35" width="13" style="299" customWidth="1" collapsed="1"/>
    <col min="36" max="36" width="3.125" style="246" hidden="1" customWidth="1" outlineLevel="1"/>
    <col min="37" max="37" width="11" style="300" hidden="1" customWidth="1" outlineLevel="1"/>
    <col min="38" max="45" width="11" style="246" hidden="1" customWidth="1" outlineLevel="1"/>
    <col min="46" max="46" width="18.875" style="246" hidden="1" customWidth="1" outlineLevel="1"/>
    <col min="47" max="47" width="2.5" style="246" hidden="1" customWidth="1" outlineLevel="1"/>
    <col min="48" max="48" width="4.25" style="246" hidden="1" customWidth="1" outlineLevel="1"/>
    <col min="49" max="50" width="0" style="246" hidden="1" customWidth="1" outlineLevel="1"/>
    <col min="51" max="51" width="2.5" style="246" hidden="1" customWidth="1" outlineLevel="1"/>
    <col min="52" max="16384" width="11" style="246"/>
  </cols>
  <sheetData>
    <row r="1" spans="1:51" ht="40.5" customHeight="1" x14ac:dyDescent="0.2">
      <c r="A1" s="296"/>
      <c r="B1" s="297"/>
      <c r="C1" s="297"/>
      <c r="D1" s="297"/>
      <c r="E1" s="297"/>
      <c r="F1" s="297"/>
      <c r="G1" s="297"/>
      <c r="H1" s="889" t="str">
        <f>HLOOKUP('4 Language'!$B$2,'4 Language'!$C$12:$H$170,2)</f>
        <v>Sprachauswahl 
(Select Language)</v>
      </c>
      <c r="I1" s="889"/>
      <c r="J1" s="889"/>
      <c r="K1" s="890" t="str">
        <f>HLOOKUP('4 Language'!$B$8,'4 Language'!$C$12:$H$307,232)</f>
        <v>Hier wird nur die rechten Blatthälfte: "Auswertungsbereich"umgestellt. Die Übernahme aus dem Parameterdatenblatt erfolgt in der hier voreingestellten Sprache.</v>
      </c>
      <c r="L1" s="890"/>
      <c r="M1" s="890"/>
      <c r="N1" s="890"/>
      <c r="O1" s="890"/>
      <c r="P1" s="890"/>
      <c r="Q1" s="890"/>
      <c r="R1" s="890"/>
      <c r="S1" s="890"/>
      <c r="T1" s="890"/>
      <c r="U1" s="890"/>
      <c r="V1" s="890"/>
      <c r="W1" s="890"/>
      <c r="X1" s="890"/>
      <c r="Y1" s="890"/>
      <c r="Z1" s="890"/>
      <c r="AA1" s="890"/>
      <c r="AB1" s="890"/>
      <c r="AC1" s="890"/>
      <c r="AD1" s="890"/>
      <c r="AE1" s="890"/>
      <c r="AF1" s="297"/>
      <c r="AG1" s="297"/>
      <c r="AH1" s="298" t="s">
        <v>1756</v>
      </c>
    </row>
    <row r="2" spans="1:51" ht="30" customHeight="1" x14ac:dyDescent="0.2">
      <c r="B2" s="435" t="str">
        <f>HLOOKUP('4 Language'!$B$8,'4 Language'!$C$12:$H$307,283)</f>
        <v xml:space="preserve">BROSE INTERN . Prozess Analyse </v>
      </c>
      <c r="K2" s="484" t="str">
        <f>HLOOKUP('4 Language'!$B$8,'4 Language'!$C$12:$H$307,284)</f>
        <v>KOMPONENTE:</v>
      </c>
      <c r="L2" s="247"/>
      <c r="O2" s="483" t="s">
        <v>1815</v>
      </c>
      <c r="P2" s="393" t="str">
        <f>HLOOKUP('4 Language'!$B$8,'4 Language'!$C$12:$H$307,202)</f>
        <v>Bitte Formeln nicht verändern!</v>
      </c>
      <c r="Q2" s="271"/>
      <c r="R2" s="271"/>
      <c r="S2" s="271"/>
      <c r="T2" s="272"/>
      <c r="U2" s="272"/>
      <c r="V2" s="272"/>
      <c r="W2" s="272"/>
      <c r="X2" s="272"/>
      <c r="Y2" s="272"/>
      <c r="Z2" s="272"/>
      <c r="AA2" s="897" t="s">
        <v>1730</v>
      </c>
      <c r="AB2" s="897"/>
      <c r="AC2" s="896" t="str">
        <f>'4 Language'!C5</f>
        <v xml:space="preserve"> i105 2K</v>
      </c>
      <c r="AD2" s="896"/>
      <c r="AE2" s="896"/>
      <c r="AF2" s="397"/>
      <c r="AH2" s="302"/>
      <c r="AJ2" s="303"/>
      <c r="AK2" s="304"/>
      <c r="AL2" s="303"/>
      <c r="AM2" s="303"/>
    </row>
    <row r="3" spans="1:51" ht="19.899999999999999" customHeight="1" x14ac:dyDescent="0.2">
      <c r="Q3" s="273"/>
      <c r="R3" s="274"/>
      <c r="S3" s="274"/>
      <c r="T3" s="274"/>
      <c r="AJ3" s="303"/>
      <c r="AK3" s="304"/>
      <c r="AL3" s="303"/>
      <c r="AM3" s="303"/>
    </row>
    <row r="4" spans="1:51" ht="19.899999999999999" customHeight="1" x14ac:dyDescent="0.2">
      <c r="B4" s="250" t="str">
        <f>HLOOKUP('4 Language'!$B$8,'4 Language'!$C$12:$H$307,233)</f>
        <v>Übernahme Parameterdatenblatt</v>
      </c>
      <c r="C4" s="251"/>
      <c r="D4" s="251"/>
      <c r="E4" s="251"/>
      <c r="F4" s="251"/>
      <c r="G4" s="251"/>
      <c r="H4" s="251"/>
      <c r="I4" s="251"/>
      <c r="J4" s="250" t="str">
        <f>HLOOKUP('4 Language'!$B$8,'4 Language'!$C$12:$H$307,234)</f>
        <v>PDS</v>
      </c>
      <c r="K4" s="252" t="s">
        <v>1731</v>
      </c>
      <c r="L4" s="251"/>
      <c r="M4" s="253" t="str">
        <f>HLOOKUP('4 Language'!$B$8,'4 Language'!$C$12:$H$307,235)</f>
        <v>Eingabe</v>
      </c>
      <c r="N4" s="252" t="s">
        <v>1731</v>
      </c>
      <c r="O4" s="254"/>
      <c r="P4" s="250" t="str">
        <f>HLOOKUP('4 Language'!$B$8,'4 Language'!$C$12:$H$307,282)</f>
        <v>Auswertungsbereich</v>
      </c>
      <c r="Q4" s="251"/>
      <c r="R4" s="251"/>
      <c r="S4" s="251"/>
      <c r="T4" s="251"/>
      <c r="U4" s="251"/>
      <c r="V4" s="251"/>
      <c r="W4" s="252" t="s">
        <v>1731</v>
      </c>
      <c r="X4" s="250" t="str">
        <f>HLOOKUP('4 Language'!$B$8,'4 Language'!$C$12:$H$307,234)</f>
        <v>PDS</v>
      </c>
      <c r="Y4" s="251"/>
      <c r="Z4" s="253"/>
      <c r="AA4" s="253"/>
      <c r="AB4" s="252" t="s">
        <v>1731</v>
      </c>
      <c r="AC4" s="291" t="str">
        <f>HLOOKUP('4 Language'!$B$8,'4 Language'!$C$12:$H$307,235)</f>
        <v>Eingabe</v>
      </c>
      <c r="AD4" s="252"/>
      <c r="AE4" s="251"/>
      <c r="AJ4" s="303"/>
      <c r="AK4" s="304"/>
      <c r="AL4" s="303"/>
      <c r="AM4" s="303"/>
    </row>
    <row r="5" spans="1:51" ht="19.899999999999999" customHeight="1" x14ac:dyDescent="0.2">
      <c r="B5" s="891" t="str">
        <f>HLOOKUP('4 Language'!$B$8,'4 Language'!$C$12:$H$307,237)</f>
        <v>Im rechten Bereich der Auswertung sind links (graue Felder) die Eingaben aus dem PDS selbst abgebildet, rechts (gelbe Felder) können eigene Werte zur Überprüfung von Optimierungsansätzen eingesetzt werden.</v>
      </c>
      <c r="C5" s="891"/>
      <c r="D5" s="891"/>
      <c r="E5" s="891"/>
      <c r="F5" s="891"/>
      <c r="G5" s="891"/>
      <c r="H5" s="891"/>
      <c r="I5" s="891"/>
      <c r="J5" s="891"/>
      <c r="K5" s="891"/>
      <c r="L5" s="891"/>
      <c r="M5" s="891"/>
      <c r="N5" s="891"/>
      <c r="P5" s="270"/>
      <c r="Q5" s="270"/>
      <c r="R5" s="270"/>
      <c r="S5" s="270"/>
      <c r="T5" s="270"/>
      <c r="U5" s="270"/>
      <c r="V5" s="270"/>
      <c r="W5" s="270"/>
      <c r="X5" s="270"/>
      <c r="Y5" s="270"/>
      <c r="Z5" s="270"/>
      <c r="AA5" s="270"/>
      <c r="AB5" s="270"/>
      <c r="AC5" s="275"/>
      <c r="AD5" s="248"/>
      <c r="AF5" s="306"/>
      <c r="AG5" s="306"/>
      <c r="AJ5" s="303"/>
      <c r="AK5" s="304"/>
      <c r="AL5" s="303"/>
      <c r="AM5" s="303"/>
    </row>
    <row r="6" spans="1:51" ht="19.899999999999999" customHeight="1" x14ac:dyDescent="0.2">
      <c r="B6" s="892"/>
      <c r="C6" s="892"/>
      <c r="D6" s="892"/>
      <c r="E6" s="892"/>
      <c r="F6" s="892"/>
      <c r="G6" s="892"/>
      <c r="H6" s="892"/>
      <c r="I6" s="892"/>
      <c r="J6" s="892"/>
      <c r="K6" s="892"/>
      <c r="L6" s="892"/>
      <c r="M6" s="892"/>
      <c r="N6" s="892"/>
      <c r="P6" s="255" t="str">
        <f>HLOOKUP('4 Language'!$B$8,'4 Language'!$C$12:$H$307,209)</f>
        <v>Dosierhub eingestellt</v>
      </c>
      <c r="Q6" s="256"/>
      <c r="R6" s="256"/>
      <c r="S6" s="256"/>
      <c r="T6" s="256"/>
      <c r="U6" s="256"/>
      <c r="V6" s="257" t="s">
        <v>1734</v>
      </c>
      <c r="W6" s="880" t="str">
        <f>IF(ISERROR(J16/(PI()/4*POWER(J13/10,2))*10),"--",J16/(PI()/4*POWER(J13/10,2))*10)</f>
        <v>--</v>
      </c>
      <c r="X6" s="880"/>
      <c r="Y6" s="256"/>
      <c r="Z6" s="256"/>
      <c r="AA6" s="256"/>
      <c r="AB6" s="880" t="str">
        <f>IF(ISERROR(AW16/(PI()/4*POWER(AW13/10,2))*10),"--",AW16/(PI()/4*POWER(AW13/10,2))*10)</f>
        <v>--</v>
      </c>
      <c r="AC6" s="880"/>
      <c r="AD6" s="256"/>
      <c r="AE6" s="256"/>
      <c r="AF6" s="306"/>
      <c r="AG6" s="306"/>
      <c r="AH6" s="67" t="s">
        <v>1757</v>
      </c>
      <c r="AJ6" s="307"/>
      <c r="AK6" s="308"/>
      <c r="AL6" s="309"/>
      <c r="AM6" s="309"/>
      <c r="AN6" s="310"/>
      <c r="AO6" s="310"/>
      <c r="AP6" s="310"/>
      <c r="AQ6" s="310"/>
      <c r="AR6" s="310"/>
      <c r="AS6" s="310"/>
      <c r="AT6" s="310"/>
      <c r="AU6" s="310"/>
      <c r="AV6" s="310"/>
      <c r="AW6" s="719"/>
      <c r="AX6" s="719"/>
      <c r="AY6" s="311"/>
    </row>
    <row r="7" spans="1:51" ht="19.899999999999999" customHeight="1" x14ac:dyDescent="0.2">
      <c r="B7" s="892"/>
      <c r="C7" s="892"/>
      <c r="D7" s="892"/>
      <c r="E7" s="892"/>
      <c r="F7" s="892"/>
      <c r="G7" s="892"/>
      <c r="H7" s="892"/>
      <c r="I7" s="892"/>
      <c r="J7" s="892"/>
      <c r="K7" s="892"/>
      <c r="L7" s="892"/>
      <c r="M7" s="892"/>
      <c r="N7" s="892"/>
      <c r="AF7" s="306"/>
      <c r="AG7" s="306"/>
      <c r="AH7" s="67" t="s">
        <v>1758</v>
      </c>
      <c r="AJ7" s="312"/>
      <c r="AK7" s="313" t="str">
        <f>HLOOKUP('4 Language'!$B$8,'4 Language'!$C$12:$H$307,230)</f>
        <v>Übergabemaske - bitte keine Änderungen vornehmen!</v>
      </c>
      <c r="AL7" s="72"/>
      <c r="AM7" s="72"/>
      <c r="AN7" s="314"/>
      <c r="AO7" s="314"/>
      <c r="AP7" s="314"/>
      <c r="AQ7" s="314"/>
      <c r="AR7" s="314"/>
      <c r="AS7" s="314"/>
      <c r="AT7" s="911" t="s">
        <v>1809</v>
      </c>
      <c r="AU7" s="314"/>
      <c r="AV7" s="314"/>
      <c r="AX7"/>
      <c r="AY7" s="315"/>
    </row>
    <row r="8" spans="1:51" ht="19.5" customHeight="1" x14ac:dyDescent="0.2">
      <c r="B8" s="893"/>
      <c r="C8" s="893"/>
      <c r="D8" s="893"/>
      <c r="E8" s="893"/>
      <c r="F8" s="893"/>
      <c r="G8" s="893"/>
      <c r="H8" s="893"/>
      <c r="I8" s="893"/>
      <c r="J8" s="893"/>
      <c r="K8" s="893"/>
      <c r="L8" s="893"/>
      <c r="M8" s="893"/>
      <c r="N8" s="893"/>
      <c r="P8" s="255" t="str">
        <f>HLOOKUP('4 Language'!$B$8,'4 Language'!$C$12:$H$307,208)</f>
        <v>Dosierhub maximal</v>
      </c>
      <c r="Q8" s="256"/>
      <c r="R8" s="256"/>
      <c r="S8" s="256"/>
      <c r="T8" s="256"/>
      <c r="U8" s="256"/>
      <c r="V8" s="257" t="s">
        <v>1734</v>
      </c>
      <c r="W8" s="880" t="str">
        <f>IF(ISERROR(J17/(PI()/4*POWER(J13/10,2))*10),"--",J17/(PI()/4*POWER(J13/10,2))*10)</f>
        <v>--</v>
      </c>
      <c r="X8" s="880"/>
      <c r="Y8" s="256"/>
      <c r="Z8" s="256"/>
      <c r="AA8" s="256"/>
      <c r="AB8" s="880" t="str">
        <f>IF(ISERROR(M17/(PI()/4*POWER(AW13/10,2))*10),"--",M17/(PI()/4*POWER(AW13/10,2))*10)</f>
        <v>--</v>
      </c>
      <c r="AC8" s="880"/>
      <c r="AD8" s="256"/>
      <c r="AE8" s="256"/>
      <c r="AF8" s="306"/>
      <c r="AG8" s="306"/>
      <c r="AJ8" s="312"/>
      <c r="AK8" s="316"/>
      <c r="AL8" s="72"/>
      <c r="AM8" s="72"/>
      <c r="AN8" s="314"/>
      <c r="AO8" s="314"/>
      <c r="AP8" s="314"/>
      <c r="AQ8" s="314"/>
      <c r="AR8" s="314"/>
      <c r="AS8" s="314"/>
      <c r="AT8" s="911"/>
      <c r="AU8" s="314"/>
      <c r="AV8" s="314"/>
      <c r="AX8"/>
      <c r="AY8" s="315"/>
    </row>
    <row r="9" spans="1:51" ht="19.149999999999999" customHeight="1" x14ac:dyDescent="0.2">
      <c r="P9" s="881" t="str">
        <f>HLOOKUP('4 Language'!$B$8,'4 Language'!$C$12:$H$307,210)</f>
        <v>Verhältnis Dosierhub / Schneckendurchmesser</v>
      </c>
      <c r="Q9" s="881"/>
      <c r="R9" s="881"/>
      <c r="S9" s="881"/>
      <c r="T9" s="881"/>
      <c r="U9" s="292"/>
      <c r="V9" s="276"/>
      <c r="W9" s="276"/>
      <c r="X9" s="277"/>
      <c r="Y9" s="277"/>
      <c r="Z9" s="277"/>
      <c r="AE9" s="268"/>
      <c r="AF9" s="306"/>
      <c r="AG9" s="306"/>
      <c r="AJ9" s="312"/>
      <c r="AK9" s="255" t="str">
        <f>HLOOKUP('4 Language'!$B$8,'4 Language'!$C$12:$H$307,22)</f>
        <v>Maximale Schließkraft</v>
      </c>
      <c r="AL9" s="317"/>
      <c r="AM9" s="317"/>
      <c r="AN9" s="317"/>
      <c r="AO9" s="317"/>
      <c r="AP9" s="485">
        <f>'1 Injection molding 2K . 3K'!Y10</f>
        <v>0</v>
      </c>
      <c r="AQ9" s="319" t="s">
        <v>1770</v>
      </c>
      <c r="AR9" s="314"/>
      <c r="AS9" s="314"/>
      <c r="AT9" s="911"/>
      <c r="AU9" s="72"/>
      <c r="AX9"/>
      <c r="AY9" s="315"/>
    </row>
    <row r="10" spans="1:51" ht="19.5" customHeight="1" x14ac:dyDescent="0.2">
      <c r="B10" s="400" t="str">
        <f>HLOOKUP('4 Language'!$B$2,'4 Language'!$C$12:$H$307,22)</f>
        <v>Maximale Schließkraft</v>
      </c>
      <c r="C10" s="463"/>
      <c r="D10" s="463"/>
      <c r="E10" s="463"/>
      <c r="F10" s="463"/>
      <c r="G10" s="463"/>
      <c r="H10" s="463"/>
      <c r="I10" s="464" t="s">
        <v>1740</v>
      </c>
      <c r="J10" s="909">
        <f>AP9</f>
        <v>0</v>
      </c>
      <c r="K10" s="894"/>
      <c r="L10" s="463"/>
      <c r="M10" s="895"/>
      <c r="N10" s="895"/>
      <c r="P10" s="882"/>
      <c r="Q10" s="882"/>
      <c r="R10" s="882"/>
      <c r="S10" s="882"/>
      <c r="T10" s="882"/>
      <c r="U10" s="256"/>
      <c r="V10" s="257" t="s">
        <v>1735</v>
      </c>
      <c r="W10" s="880" t="str">
        <f>IF(ISERROR((J17/(PI()/4*POWER(J13/10,2))*10)/J13),"--",(J17/(PI()/4*POWER(J13/10,2))*10)/J13)</f>
        <v>--</v>
      </c>
      <c r="X10" s="880"/>
      <c r="Y10" s="256"/>
      <c r="Z10" s="278"/>
      <c r="AA10" s="266"/>
      <c r="AB10" s="880" t="str">
        <f>IF(ISERROR((M17/(PI()/4*POWER(AW13/10,2))*10)/AW13),"--",(M17/(PI()/4*POWER(AW13/10,2))*10)/AW13)</f>
        <v>--</v>
      </c>
      <c r="AC10" s="880"/>
      <c r="AD10" s="256"/>
      <c r="AE10" s="278"/>
      <c r="AF10" s="306"/>
      <c r="AG10" s="306"/>
      <c r="AH10" s="320" t="s">
        <v>1759</v>
      </c>
      <c r="AJ10" s="312"/>
      <c r="AK10" s="255" t="str">
        <f>HLOOKUP('4 Language'!$B$8,'4 Language'!$C$12:$H$307,23)</f>
        <v>Eingestellte Schließkraft</v>
      </c>
      <c r="AL10" s="322"/>
      <c r="AM10" s="322"/>
      <c r="AN10" s="322"/>
      <c r="AO10" s="322"/>
      <c r="AP10" s="486">
        <f>'1 Injection molding 2K . 3K'!Y11</f>
        <v>0</v>
      </c>
      <c r="AQ10" s="324" t="s">
        <v>1770</v>
      </c>
      <c r="AR10" s="314"/>
      <c r="AS10" s="314"/>
      <c r="AT10" s="911"/>
      <c r="AU10" s="72"/>
      <c r="AV10" s="720" t="str" cm="1">
        <f t="array" ref="AV10">IF(AW10=J10,"Ü",IF(AW10=M10,"E",X))</f>
        <v>Ü</v>
      </c>
      <c r="AW10" s="721">
        <f t="shared" ref="AW10:AW16" si="0">IF(M10="",J10,M10)</f>
        <v>0</v>
      </c>
      <c r="AX10"/>
      <c r="AY10" s="315"/>
    </row>
    <row r="11" spans="1:51" ht="19.5" customHeight="1" x14ac:dyDescent="0.2">
      <c r="B11" s="404" t="str">
        <f>HLOOKUP('4 Language'!$B$2,'4 Language'!$C$12:$H$307,23)</f>
        <v>Eingestellte Schließkraft</v>
      </c>
      <c r="C11" s="465"/>
      <c r="D11" s="465"/>
      <c r="E11" s="465"/>
      <c r="F11" s="465"/>
      <c r="G11" s="465"/>
      <c r="H11" s="465"/>
      <c r="I11" s="466" t="s">
        <v>1740</v>
      </c>
      <c r="J11" s="910">
        <f>AP10</f>
        <v>0</v>
      </c>
      <c r="K11" s="870"/>
      <c r="L11" s="465"/>
      <c r="M11" s="867"/>
      <c r="N11" s="867"/>
      <c r="AF11" s="306"/>
      <c r="AG11" s="306"/>
      <c r="AH11" s="268"/>
      <c r="AI11" s="325"/>
      <c r="AJ11" s="312"/>
      <c r="AK11" s="255" t="str">
        <f>HLOOKUP('4 Language'!$B$8,'4 Language'!$C$12:$H$307,24)</f>
        <v>Projizierte Bauteilfläche</v>
      </c>
      <c r="AL11" s="326"/>
      <c r="AM11" s="326"/>
      <c r="AN11" s="326"/>
      <c r="AO11" s="327"/>
      <c r="AP11" s="328">
        <f>'1 Injection molding 2K . 3K'!T57</f>
        <v>0</v>
      </c>
      <c r="AQ11" s="324" t="s">
        <v>1771</v>
      </c>
      <c r="AR11" s="314"/>
      <c r="AS11" s="314"/>
      <c r="AT11" s="911"/>
      <c r="AU11" s="72"/>
      <c r="AV11" s="720" t="str" cm="1">
        <f t="array" ref="AV11">IF(AW11=J11,"Ü",IF(AW11=M11,"E",X))</f>
        <v>Ü</v>
      </c>
      <c r="AW11" s="721">
        <f t="shared" si="0"/>
        <v>0</v>
      </c>
      <c r="AX11"/>
      <c r="AY11" s="315"/>
    </row>
    <row r="12" spans="1:51" ht="19.5" customHeight="1" x14ac:dyDescent="0.2">
      <c r="B12" s="404" t="str">
        <f>HLOOKUP('4 Language'!$B$2,'4 Language'!$C$12:$H$307,24)</f>
        <v>Projizierte Bauteilfläche</v>
      </c>
      <c r="C12" s="467"/>
      <c r="D12" s="467"/>
      <c r="E12" s="467"/>
      <c r="F12" s="467"/>
      <c r="G12" s="467"/>
      <c r="H12" s="468"/>
      <c r="I12" s="466" t="s">
        <v>1741</v>
      </c>
      <c r="J12" s="870">
        <f>AP11</f>
        <v>0</v>
      </c>
      <c r="K12" s="870"/>
      <c r="L12" s="465"/>
      <c r="M12" s="867"/>
      <c r="N12" s="867"/>
      <c r="P12" s="255" t="str">
        <f>HLOOKUP('4 Language'!$B$8,'4 Language'!$C$12:$H$307,211)</f>
        <v>Zylinderauslastung</v>
      </c>
      <c r="Q12" s="256"/>
      <c r="R12" s="256"/>
      <c r="S12" s="256"/>
      <c r="T12" s="256"/>
      <c r="U12" s="256"/>
      <c r="V12" s="257" t="s">
        <v>1736</v>
      </c>
      <c r="W12" s="880" t="str">
        <f>IF(ISERROR(J17/J16*100),"--",J17/J16*100)</f>
        <v>--</v>
      </c>
      <c r="X12" s="880"/>
      <c r="Y12" s="256"/>
      <c r="Z12" s="278"/>
      <c r="AA12" s="266"/>
      <c r="AB12" s="880" t="str">
        <f>IF(ISERROR(M17/AW16*100),"--",M17/AW16*100)</f>
        <v>--</v>
      </c>
      <c r="AC12" s="880"/>
      <c r="AD12" s="256"/>
      <c r="AE12" s="278"/>
      <c r="AH12" s="320" t="s">
        <v>1760</v>
      </c>
      <c r="AJ12" s="312"/>
      <c r="AK12" s="255" t="str">
        <f>HLOOKUP('4 Language'!$B$8,'4 Language'!$C$12:$H$307,25)</f>
        <v>Schneckendurchmesser</v>
      </c>
      <c r="AL12" s="327"/>
      <c r="AM12" s="327"/>
      <c r="AN12" s="327"/>
      <c r="AO12" s="327"/>
      <c r="AP12" s="323">
        <f>'1 Injection molding 2K . 3K'!T22</f>
        <v>0</v>
      </c>
      <c r="AQ12" s="324" t="s">
        <v>1772</v>
      </c>
      <c r="AR12" s="314"/>
      <c r="AS12" s="314"/>
      <c r="AT12" s="911"/>
      <c r="AU12" s="72"/>
      <c r="AV12" s="720" t="str" cm="1">
        <f t="array" ref="AV12">IF(AW12=J12,"Ü",IF(AW12=M12,"E",X))</f>
        <v>Ü</v>
      </c>
      <c r="AW12" s="721">
        <f t="shared" si="0"/>
        <v>0</v>
      </c>
      <c r="AX12"/>
      <c r="AY12" s="315"/>
    </row>
    <row r="13" spans="1:51" ht="19.5" customHeight="1" x14ac:dyDescent="0.2">
      <c r="B13" s="404" t="str">
        <f>HLOOKUP('4 Language'!$B$2,'4 Language'!$C$12:$H$307,25)</f>
        <v>Schneckendurchmesser</v>
      </c>
      <c r="C13" s="465"/>
      <c r="D13" s="465"/>
      <c r="E13" s="465"/>
      <c r="F13" s="465"/>
      <c r="G13" s="465"/>
      <c r="H13" s="468"/>
      <c r="I13" s="466" t="s">
        <v>1734</v>
      </c>
      <c r="J13" s="870">
        <f t="shared" ref="J13:J16" si="1">AP12</f>
        <v>0</v>
      </c>
      <c r="K13" s="870"/>
      <c r="L13" s="465"/>
      <c r="M13" s="867"/>
      <c r="N13" s="867"/>
      <c r="P13" s="901" t="str">
        <f>HLOOKUP('4 Language'!$B$8,'4 Language'!$C$12:$H$307,212)&amp;"  min"</f>
        <v>Gewichtsverhältnis nachdruckfrei zu ausgedrückt  min</v>
      </c>
      <c r="Q13" s="901"/>
      <c r="R13" s="901"/>
      <c r="S13" s="901"/>
      <c r="T13" s="901"/>
      <c r="U13" s="294"/>
      <c r="AF13" s="306"/>
      <c r="AG13" s="306"/>
      <c r="AJ13" s="312"/>
      <c r="AK13" s="255" t="str">
        <f>HLOOKUP('4 Language'!$B$8,'4 Language'!$C$12:$H$307,26)</f>
        <v>Schneckenlänge / Schneckendurchmesser Verhältnis</v>
      </c>
      <c r="AL13" s="327"/>
      <c r="AM13" s="327"/>
      <c r="AN13" s="327"/>
      <c r="AO13" s="327"/>
      <c r="AP13" s="323">
        <f>'1 Injection molding 2K . 3K'!T23</f>
        <v>0</v>
      </c>
      <c r="AQ13" s="324" t="s">
        <v>1773</v>
      </c>
      <c r="AR13" s="314"/>
      <c r="AS13" s="314"/>
      <c r="AT13" s="314"/>
      <c r="AU13" s="72"/>
      <c r="AV13" s="720" t="str" cm="1">
        <f t="array" ref="AV13">IF(AW13=J13,"Ü",IF(AW13=M13,"E",X))</f>
        <v>Ü</v>
      </c>
      <c r="AW13" s="721">
        <f t="shared" si="0"/>
        <v>0</v>
      </c>
      <c r="AX13" s="722"/>
      <c r="AY13" s="315"/>
    </row>
    <row r="14" spans="1:51" ht="19.5" customHeight="1" x14ac:dyDescent="0.2">
      <c r="B14" s="404" t="str">
        <f>HLOOKUP('4 Language'!$B$2,'4 Language'!$C$12:$H$307,190)</f>
        <v xml:space="preserve">L. zu D. Verhältnis Schnecke </v>
      </c>
      <c r="C14" s="465"/>
      <c r="D14" s="465"/>
      <c r="E14" s="465"/>
      <c r="F14" s="465"/>
      <c r="G14" s="465"/>
      <c r="H14" s="468"/>
      <c r="I14" s="466" t="s">
        <v>1742</v>
      </c>
      <c r="J14" s="870">
        <f t="shared" si="1"/>
        <v>0</v>
      </c>
      <c r="K14" s="870"/>
      <c r="L14" s="465"/>
      <c r="M14" s="867"/>
      <c r="N14" s="867"/>
      <c r="P14" s="902"/>
      <c r="Q14" s="902"/>
      <c r="R14" s="902"/>
      <c r="S14" s="902"/>
      <c r="T14" s="902"/>
      <c r="U14" s="293"/>
      <c r="V14" s="257" t="s">
        <v>1736</v>
      </c>
      <c r="W14" s="904" t="str">
        <f>IF(ISERROR(J36/J38*100),"--",J36/J38*100)</f>
        <v>--</v>
      </c>
      <c r="X14" s="904"/>
      <c r="Y14" s="256"/>
      <c r="Z14" s="278"/>
      <c r="AA14" s="266"/>
      <c r="AB14" s="904" t="str">
        <f>IF(ISERROR(AW36/AW38*100),"--",AW36/AW38*100)</f>
        <v>--</v>
      </c>
      <c r="AC14" s="904"/>
      <c r="AD14" s="256"/>
      <c r="AE14" s="278"/>
      <c r="AH14" s="437" t="s">
        <v>1814</v>
      </c>
      <c r="AJ14" s="312"/>
      <c r="AK14" s="255" t="str">
        <f>HLOOKUP('4 Language'!$B$8,'4 Language'!$C$12:$H$307,28)</f>
        <v>max. Plastifizierstrom der Maschine (Basis von  PS)</v>
      </c>
      <c r="AL14" s="329"/>
      <c r="AM14" s="329"/>
      <c r="AN14" s="330"/>
      <c r="AO14" s="330"/>
      <c r="AP14" s="323">
        <f>'1 Injection molding 2K . 3K'!T24</f>
        <v>0</v>
      </c>
      <c r="AQ14" s="324" t="s">
        <v>1774</v>
      </c>
      <c r="AR14" s="314"/>
      <c r="AS14" s="314"/>
      <c r="AT14" s="314"/>
      <c r="AU14" s="72"/>
      <c r="AV14" s="720" t="str" cm="1">
        <f t="array" ref="AV14">IF(AW14=J14,"Ü",IF(AW14=M14,"E",X))</f>
        <v>Ü</v>
      </c>
      <c r="AW14" s="721">
        <f t="shared" si="0"/>
        <v>0</v>
      </c>
      <c r="AX14"/>
      <c r="AY14" s="315"/>
    </row>
    <row r="15" spans="1:51" ht="19.5" customHeight="1" x14ac:dyDescent="0.2">
      <c r="B15" s="404" t="str">
        <f>HLOOKUP('4 Language'!$B$2,'4 Language'!$C$12:$H$307,191)</f>
        <v>max. Plastifizierstrom Maschine</v>
      </c>
      <c r="C15" s="467"/>
      <c r="D15" s="467"/>
      <c r="E15" s="467"/>
      <c r="F15" s="467"/>
      <c r="G15" s="467"/>
      <c r="H15" s="468"/>
      <c r="I15" s="466" t="s">
        <v>1743</v>
      </c>
      <c r="J15" s="870">
        <f t="shared" si="1"/>
        <v>0</v>
      </c>
      <c r="K15" s="870"/>
      <c r="L15" s="465"/>
      <c r="M15" s="867"/>
      <c r="N15" s="867"/>
      <c r="P15" s="901" t="str">
        <f>HLOOKUP('4 Language'!$B$8,'4 Language'!$C$12:$H$307,212)&amp;"  max"</f>
        <v>Gewichtsverhältnis nachdruckfrei zu ausgedrückt  max</v>
      </c>
      <c r="Q15" s="901"/>
      <c r="R15" s="901"/>
      <c r="S15" s="901"/>
      <c r="T15" s="901"/>
      <c r="U15" s="294"/>
      <c r="AF15" s="306"/>
      <c r="AG15" s="306"/>
      <c r="AH15" s="438"/>
      <c r="AJ15" s="312"/>
      <c r="AK15" s="255" t="str">
        <f>HLOOKUP('4 Language'!$B$8,'4 Language'!$C$12:$H$307,29)</f>
        <v>Maximal mögliches Dosiervolumen</v>
      </c>
      <c r="AL15" s="329"/>
      <c r="AM15" s="329"/>
      <c r="AN15" s="330"/>
      <c r="AO15" s="330"/>
      <c r="AP15" s="331">
        <f>'1 Injection molding 2K . 3K'!T25</f>
        <v>0</v>
      </c>
      <c r="AQ15" s="324" t="s">
        <v>1775</v>
      </c>
      <c r="AR15" s="314"/>
      <c r="AS15" s="314"/>
      <c r="AT15" s="332" t="s">
        <v>1777</v>
      </c>
      <c r="AU15" s="72"/>
      <c r="AV15" s="720" t="str" cm="1">
        <f t="array" ref="AV15">IF(AW15=J15,"Ü",IF(AW15=M15,"E",X))</f>
        <v>Ü</v>
      </c>
      <c r="AW15" s="721">
        <f t="shared" si="0"/>
        <v>0</v>
      </c>
      <c r="AX15"/>
      <c r="AY15" s="315"/>
    </row>
    <row r="16" spans="1:51" ht="19.5" customHeight="1" x14ac:dyDescent="0.2">
      <c r="B16" s="404" t="str">
        <f>HLOOKUP('4 Language'!$B$2,'4 Language'!$C$12:$H$307,29)</f>
        <v>Maximal mögliches Dosiervolumen</v>
      </c>
      <c r="C16" s="465"/>
      <c r="D16" s="465"/>
      <c r="E16" s="465"/>
      <c r="F16" s="465"/>
      <c r="G16" s="465"/>
      <c r="H16" s="468"/>
      <c r="I16" s="466" t="s">
        <v>1737</v>
      </c>
      <c r="J16" s="870">
        <f t="shared" si="1"/>
        <v>0</v>
      </c>
      <c r="K16" s="870"/>
      <c r="L16" s="470"/>
      <c r="M16" s="867"/>
      <c r="N16" s="867"/>
      <c r="P16" s="902"/>
      <c r="Q16" s="902"/>
      <c r="R16" s="902"/>
      <c r="S16" s="902"/>
      <c r="T16" s="902"/>
      <c r="U16" s="293"/>
      <c r="V16" s="257" t="s">
        <v>1736</v>
      </c>
      <c r="W16" s="904" t="str">
        <f>IF(ISERROR(J37/J39*100),"--",J37/J39*100)</f>
        <v>--</v>
      </c>
      <c r="X16" s="904"/>
      <c r="Y16" s="256"/>
      <c r="Z16" s="278"/>
      <c r="AA16" s="266"/>
      <c r="AB16" s="904" t="str">
        <f>IF(ISERROR(AW37/AW39*100),"--",AW37/AW39*100)</f>
        <v>--</v>
      </c>
      <c r="AC16" s="904"/>
      <c r="AD16" s="256"/>
      <c r="AE16" s="278"/>
      <c r="AH16" s="437" t="s">
        <v>1814</v>
      </c>
      <c r="AJ16" s="312"/>
      <c r="AK16" s="314"/>
      <c r="AL16" s="314"/>
      <c r="AM16" s="314"/>
      <c r="AN16" s="314"/>
      <c r="AO16" s="314"/>
      <c r="AP16" s="314"/>
      <c r="AQ16" s="314"/>
      <c r="AR16" s="314"/>
      <c r="AS16" s="314"/>
      <c r="AT16" s="333" t="str">
        <f>HLOOKUP('4 Language'!$B$8,'4 Language'!$C$12:$H$307,240)&amp;"  "</f>
        <v xml:space="preserve">druckabhängig  </v>
      </c>
      <c r="AU16" s="72"/>
      <c r="AV16" s="720" t="str" cm="1">
        <f t="array" ref="AV16">IF(AW16=J16,"Ü",IF(AW16=M16,"E",X))</f>
        <v>Ü</v>
      </c>
      <c r="AW16" s="721">
        <f t="shared" si="0"/>
        <v>0</v>
      </c>
      <c r="AX16" s="722"/>
      <c r="AY16" s="315"/>
    </row>
    <row r="17" spans="2:51" ht="19.5" customHeight="1" x14ac:dyDescent="0.2">
      <c r="B17" s="400" t="str">
        <f>HLOOKUP('4 Language'!$B$2,'4 Language'!$C$12:$H$307,30)</f>
        <v>Schußvolumen (berechnet)</v>
      </c>
      <c r="C17" s="463"/>
      <c r="D17" s="463"/>
      <c r="E17" s="463"/>
      <c r="F17" s="463"/>
      <c r="G17" s="463"/>
      <c r="H17" s="471"/>
      <c r="I17" s="464" t="s">
        <v>1737</v>
      </c>
      <c r="J17" s="905" t="str">
        <f>IF(ISERROR(J35/J34),"--",J35/J34)</f>
        <v>--</v>
      </c>
      <c r="K17" s="905"/>
      <c r="L17" s="473"/>
      <c r="M17" s="906" t="str">
        <f>IF(ISERROR(AW35/AW34),"--",AW35/AW34)</f>
        <v>--</v>
      </c>
      <c r="N17" s="906"/>
      <c r="O17" s="246"/>
      <c r="AF17" s="306"/>
      <c r="AG17" s="306"/>
      <c r="AJ17" s="312"/>
      <c r="AK17" s="72"/>
      <c r="AL17" s="72"/>
      <c r="AM17" s="72"/>
      <c r="AN17" s="72"/>
      <c r="AO17" s="72"/>
      <c r="AP17" s="72"/>
      <c r="AQ17" s="72"/>
      <c r="AR17" s="72"/>
      <c r="AS17" s="314"/>
      <c r="AT17" s="334" t="str">
        <f>HLOOKUP('4 Language'!$B$8,'4 Language'!$C$12:$H$307,241)&amp;"  "</f>
        <v xml:space="preserve">wegabhängig  </v>
      </c>
      <c r="AU17" s="72"/>
      <c r="AV17"/>
      <c r="AW17"/>
      <c r="AX17"/>
      <c r="AY17" s="315"/>
    </row>
    <row r="18" spans="2:51" ht="19.5" customHeight="1" x14ac:dyDescent="0.2">
      <c r="B18" s="400" t="str">
        <f>HLOOKUP('4 Language'!$B$2,'4 Language'!$C$12:$H$307,32)</f>
        <v>Dosierzeit (berechnet)</v>
      </c>
      <c r="C18" s="472"/>
      <c r="D18" s="472"/>
      <c r="E18" s="472"/>
      <c r="F18" s="472"/>
      <c r="G18" s="472"/>
      <c r="H18" s="471"/>
      <c r="I18" s="464" t="s">
        <v>1738</v>
      </c>
      <c r="J18" s="906" t="str">
        <f>IF(ISERROR(J17/(J15*J32/0.6)),"--",J17/(J15*J32/0.6))</f>
        <v>--</v>
      </c>
      <c r="K18" s="906"/>
      <c r="L18" s="473"/>
      <c r="M18" s="906" t="str">
        <f>IF(ISERROR(M17/(AW15*M32/0.6)),"--",M17/(AW15*M32/0.6))</f>
        <v>--</v>
      </c>
      <c r="N18" s="906"/>
      <c r="P18" s="255" t="str">
        <f>HLOOKUP('4 Language'!$B$8,'4 Language'!$C$12:$H$307,213)</f>
        <v>Massepolster [Volumen]</v>
      </c>
      <c r="Q18" s="256"/>
      <c r="R18" s="256"/>
      <c r="S18" s="256"/>
      <c r="T18" s="256"/>
      <c r="U18" s="256"/>
      <c r="V18" s="257" t="s">
        <v>1737</v>
      </c>
      <c r="W18" s="880">
        <f>IF(ISERROR(IF(AS27=4,J29,IF(AS27=5,(POWER(J13,2)*PI()/4*J29/1000),"--"))),"--",IF(AS27=4,J29,IF(AS27=5,(POWER(J13,2)*PI()/4*J29/1000),"--")))</f>
        <v>0</v>
      </c>
      <c r="X18" s="880"/>
      <c r="Y18" s="256"/>
      <c r="Z18" s="256"/>
      <c r="AA18" s="256"/>
      <c r="AB18" s="880" t="str">
        <f>IF(ISERROR(IF(AS29=2,AW29,IF(AS29=1,(POWER(AW13,2)*PI()/4*AW29/1000),"--"))),"--",IF(AS29=2,AW29,IF(AS29=1,(POWER(AW13,2)*PI()/4*AW29/1000),"--")))</f>
        <v>--</v>
      </c>
      <c r="AC18" s="880"/>
      <c r="AD18" s="266"/>
      <c r="AE18" s="256"/>
      <c r="AH18" s="70"/>
      <c r="AJ18" s="312"/>
      <c r="AK18" s="255" t="str">
        <f>HLOOKUP('4 Language'!$B$8,'4 Language'!$C$12:$H$307,33)</f>
        <v>Zykluszeit</v>
      </c>
      <c r="AL18" s="336"/>
      <c r="AM18" s="336"/>
      <c r="AN18" s="335"/>
      <c r="AO18" s="335"/>
      <c r="AP18" s="331">
        <f>'1 Injection molding 2K . 3K'!K13</f>
        <v>0</v>
      </c>
      <c r="AQ18" s="337" t="s">
        <v>1776</v>
      </c>
      <c r="AR18" s="314"/>
      <c r="AS18" s="314"/>
      <c r="AT18" s="334" t="str">
        <f>HLOOKUP('4 Language'!$B$8,'4 Language'!$C$12:$H$307,242)&amp;"  "</f>
        <v xml:space="preserve">volumenabhängig  </v>
      </c>
      <c r="AU18" s="72"/>
      <c r="AV18"/>
      <c r="AW18"/>
      <c r="AX18"/>
      <c r="AY18" s="315"/>
    </row>
    <row r="19" spans="2:51" ht="19.5" customHeight="1" x14ac:dyDescent="0.2">
      <c r="B19" s="404" t="str">
        <f>HLOOKUP('4 Language'!$B$2,'4 Language'!$C$12:$H$307,33)</f>
        <v>Zykluszeit</v>
      </c>
      <c r="C19" s="467"/>
      <c r="D19" s="467"/>
      <c r="E19" s="467"/>
      <c r="F19" s="467"/>
      <c r="G19" s="467"/>
      <c r="H19" s="467"/>
      <c r="I19" s="466" t="s">
        <v>1738</v>
      </c>
      <c r="J19" s="907">
        <f>AP18</f>
        <v>0</v>
      </c>
      <c r="K19" s="907"/>
      <c r="L19" s="473"/>
      <c r="M19" s="865"/>
      <c r="N19" s="865"/>
      <c r="P19" s="258" t="str">
        <f>IF(AS27=4,AT18,IF(AS27=5,AT17,AT19))</f>
        <v xml:space="preserve">wegabhängig  </v>
      </c>
      <c r="AF19" s="306"/>
      <c r="AG19" s="306"/>
      <c r="AJ19" s="312"/>
      <c r="AK19" s="338"/>
      <c r="AL19" s="339"/>
      <c r="AM19" s="339"/>
      <c r="AN19" s="340"/>
      <c r="AO19" s="340"/>
      <c r="AP19" s="340"/>
      <c r="AQ19" s="340"/>
      <c r="AR19" s="314"/>
      <c r="AS19" s="314"/>
      <c r="AT19" s="334" t="str">
        <f>HLOOKUP('4 Language'!$B$8,'4 Language'!$C$12:$H$307,243)&amp;"  "</f>
        <v xml:space="preserve">fehlende Auswahl  </v>
      </c>
      <c r="AU19" s="72"/>
      <c r="AV19" s="720" t="str" cm="1">
        <f t="array" ref="AV19">IF(AW19=J19,"Ü",IF(AW19=M19,"E",X))</f>
        <v>Ü</v>
      </c>
      <c r="AW19" s="721">
        <f t="shared" ref="AW19" si="2">IF(M19="",J19,M19)</f>
        <v>0</v>
      </c>
      <c r="AX19"/>
      <c r="AY19" s="315"/>
    </row>
    <row r="20" spans="2:51" ht="19.5" customHeight="1" x14ac:dyDescent="0.2">
      <c r="B20" s="404" t="str">
        <f>HLOOKUP('4 Language'!$B$2,'4 Language'!$C$12:$H$307,34)</f>
        <v>Verweilzeit (Näherungswert)</v>
      </c>
      <c r="C20" s="467"/>
      <c r="D20" s="467"/>
      <c r="E20" s="467"/>
      <c r="F20" s="467"/>
      <c r="G20" s="467"/>
      <c r="H20" s="467"/>
      <c r="I20" s="470" t="s">
        <v>1744</v>
      </c>
      <c r="J20" s="908" t="str">
        <f>IF(ISERROR((((((PI()/4*POWER(J13/10,2)*J14*J13/10)-J17)*0.3333)+J17)/J17)*J19/60),"--",(((((PI()/4*POWER(J13/10,2)*J14*J13/10)-J17)*0.3333)+J17)/J17)*J19/60)</f>
        <v>--</v>
      </c>
      <c r="K20" s="908"/>
      <c r="L20" s="473"/>
      <c r="M20" s="906" t="str">
        <f>IF(ISERROR((((((PI()/4*POWER(AW13/10,2)*AW14*AW13/10)-M17)*0.3333)+M17)/M17)*AW19/60),"--",(((((PI()/4*POWER(AW13/10,2)*AW14*AW13/10)-M17)*0.3333)+M17)/M17)*AW19/60)</f>
        <v>--</v>
      </c>
      <c r="N20" s="906"/>
      <c r="P20" s="255" t="str">
        <f>HLOOKUP('4 Language'!$B$8,'4 Language'!$C$12:$H$307,214)</f>
        <v>Massepolster [Weg]</v>
      </c>
      <c r="Q20" s="256"/>
      <c r="R20" s="256"/>
      <c r="S20" s="256"/>
      <c r="T20" s="256"/>
      <c r="U20" s="256"/>
      <c r="V20" s="257" t="s">
        <v>1734</v>
      </c>
      <c r="W20" s="880">
        <f>IF(ISERROR(IF(AS27=5,J29,IF(AS27=4,J29/(POWER(J13/10,2)*PI()/4)*10,"--"))),"--",IF(AS27=5,J29,IF(AS27=4,J29/(POWER(J13/10,2)*PI()/4)*10,"--")))</f>
        <v>0</v>
      </c>
      <c r="X20" s="880"/>
      <c r="Y20" s="256"/>
      <c r="Z20" s="278"/>
      <c r="AA20" s="266"/>
      <c r="AB20" s="880" t="str">
        <f>IF(ISERROR(IF(AS29=1,AW29,IF(AS29=2,AW29/(POWER(AW13/10,2)*PI()/4)*10,"--"))),"--",IF(AS29=1,AW29,IF(AS29=2,AW29/(POWER(AW13/10,2)*PI()/4)*10,"--")))</f>
        <v>--</v>
      </c>
      <c r="AC20" s="880"/>
      <c r="AD20" s="256"/>
      <c r="AE20" s="278"/>
      <c r="AH20" s="320" t="s">
        <v>1761</v>
      </c>
      <c r="AJ20" s="312"/>
      <c r="AK20" s="255" t="str">
        <f>HLOOKUP('4 Language'!$B$8,'4 Language'!$C$12:$H$307,35)</f>
        <v>Einspritzzeit (siehe "Prozessüberwachung")</v>
      </c>
      <c r="AL20" s="336"/>
      <c r="AM20" s="336"/>
      <c r="AN20" s="335"/>
      <c r="AO20" s="341">
        <f>'1 Injection molding 2K . 3K'!R35</f>
        <v>0</v>
      </c>
      <c r="AP20" s="342"/>
      <c r="AQ20" s="341">
        <f>'1 Injection molding 2K . 3K'!U35</f>
        <v>0</v>
      </c>
      <c r="AR20" s="314"/>
      <c r="AS20" s="314"/>
      <c r="AT20" s="314"/>
      <c r="AU20" s="72"/>
      <c r="AV20"/>
      <c r="AW20"/>
      <c r="AX20"/>
      <c r="AY20" s="315"/>
    </row>
    <row r="21" spans="2:51" ht="19.5" customHeight="1" x14ac:dyDescent="0.2">
      <c r="B21" s="263" t="str">
        <f>HLOOKUP('4 Language'!$B$2,'4 Language'!$C$12:$H$307,287)</f>
        <v>Hinweis: Verweilzeitberechung hier unter Berücksichtigung des L/D Verhältnisses</v>
      </c>
      <c r="C21" s="399"/>
      <c r="D21" s="399"/>
      <c r="E21" s="399"/>
      <c r="F21" s="399"/>
      <c r="G21" s="399"/>
      <c r="H21" s="399"/>
      <c r="I21" s="469"/>
      <c r="J21" s="259"/>
      <c r="K21" s="259"/>
      <c r="L21" s="399"/>
      <c r="M21" s="259"/>
      <c r="N21" s="259"/>
      <c r="P21" s="258" t="str">
        <f>IF(AS27=4,AT18,IF(AS27=5,AT17,AT19))</f>
        <v xml:space="preserve">wegabhängig  </v>
      </c>
      <c r="AH21" s="70"/>
      <c r="AJ21" s="312"/>
      <c r="AK21" s="255" t="str">
        <f>HLOOKUP('4 Language'!$B$8,'4 Language'!$C$12:$H$307,36)</f>
        <v>Spezifischer Nachdruck (Profil)</v>
      </c>
      <c r="AL21" s="336"/>
      <c r="AM21" s="343"/>
      <c r="AN21" s="343"/>
      <c r="AO21" s="343"/>
      <c r="AP21" s="343"/>
      <c r="AQ21" s="343"/>
      <c r="AR21" s="314"/>
      <c r="AS21" s="314"/>
      <c r="AT21" s="314"/>
      <c r="AU21" s="72"/>
      <c r="AV21" s="314"/>
      <c r="AX21"/>
      <c r="AY21" s="315"/>
    </row>
    <row r="22" spans="2:51" ht="19.5" customHeight="1" x14ac:dyDescent="0.2">
      <c r="B22" s="400" t="str">
        <f>HLOOKUP('4 Language'!$B$2,'4 Language'!$C$12:$H$307,35)</f>
        <v>Einspritzzeit (siehe "Prozessüberwachung")</v>
      </c>
      <c r="C22" s="463"/>
      <c r="D22" s="463"/>
      <c r="E22" s="463"/>
      <c r="F22" s="463"/>
      <c r="G22" s="474"/>
      <c r="H22" s="475" t="s">
        <v>1745</v>
      </c>
      <c r="I22" s="476" t="s">
        <v>1746</v>
      </c>
      <c r="J22" s="477">
        <f>AO20</f>
        <v>0</v>
      </c>
      <c r="K22" s="478">
        <f>AQ20</f>
        <v>0</v>
      </c>
      <c r="L22" s="473"/>
      <c r="M22" s="260"/>
      <c r="N22" s="261"/>
      <c r="P22" s="255" t="str">
        <f>HLOOKUP('4 Language'!$B$8,'4 Language'!$C$12:$H$307,216)</f>
        <v>Nachdruckvolumen</v>
      </c>
      <c r="Q22" s="256"/>
      <c r="R22" s="256"/>
      <c r="S22" s="256"/>
      <c r="T22" s="256"/>
      <c r="U22" s="256"/>
      <c r="V22" s="257" t="s">
        <v>1737</v>
      </c>
      <c r="W22" s="880">
        <f>IF(ISERROR(IF(AS27=4,J27-J29,IF(AS27=5,(POWER(J13/10,2)*PI()/4)*((J27-J29)/10),"--"))),"--",IF(AS27=4,J27-J29,IF(AS27=5,(POWER(J13/10,2)*PI()/4)*((J27-J29)/10),"--")))</f>
        <v>0</v>
      </c>
      <c r="X22" s="880"/>
      <c r="Y22" s="256"/>
      <c r="Z22" s="278"/>
      <c r="AA22" s="266"/>
      <c r="AB22" s="880" t="str">
        <f>IF(ISERROR(IF(AS27=3,AW27-AW29,IF(AS27=2,(POWER(AW13/10,2)*PI()/4)*((AW27-AW29)/10),"--"))),"--",IF(AS27=3,AW27-AW29,IF(AS27=2,(POWER(AW13/10,2)*PI()/4)*((AW27-AW29)/10),"--")))</f>
        <v>--</v>
      </c>
      <c r="AC22" s="880"/>
      <c r="AD22" s="256"/>
      <c r="AE22" s="278"/>
      <c r="AH22" s="320" t="s">
        <v>1762</v>
      </c>
      <c r="AJ22" s="312"/>
      <c r="AK22" s="255" t="str">
        <f>HLOOKUP('4 Language'!$B$8,'4 Language'!$C$12:$H$307,37)</f>
        <v>Zeit</v>
      </c>
      <c r="AL22" s="262"/>
      <c r="AM22" s="394">
        <f>'1 Injection molding 2K . 3K'!T43</f>
        <v>0</v>
      </c>
      <c r="AN22" s="394">
        <f>'1 Injection molding 2K . 3K'!T44</f>
        <v>0</v>
      </c>
      <c r="AO22" s="395">
        <f>'1 Injection molding 2K . 3K'!T45</f>
        <v>0</v>
      </c>
      <c r="AP22" s="395">
        <f>'1 Injection molding 2K . 3K'!T46</f>
        <v>0</v>
      </c>
      <c r="AQ22" s="396">
        <f>'1 Injection molding 2K . 3K'!T47</f>
        <v>0</v>
      </c>
      <c r="AR22" s="345" t="str">
        <f>"∑  "&amp;SUM(AM22:AQ22)</f>
        <v>∑  0</v>
      </c>
      <c r="AS22" s="346" t="b">
        <f>IF(AR22&gt;0,TRUE,FALSE)</f>
        <v>1</v>
      </c>
      <c r="AT22" s="314"/>
      <c r="AU22" s="72"/>
      <c r="AV22" s="720" t="str" cm="1">
        <f t="array" ref="AV22">IF(AW22=J22,"Ü",IF(AW22=M22,"E",X))</f>
        <v>Ü</v>
      </c>
      <c r="AW22" s="723">
        <f t="shared" ref="AW22:AX22" si="3">IF(M22="",J22,M22)</f>
        <v>0</v>
      </c>
      <c r="AX22" s="721">
        <f t="shared" si="3"/>
        <v>0</v>
      </c>
      <c r="AY22" s="315"/>
    </row>
    <row r="23" spans="2:51" ht="19.5" customHeight="1" x14ac:dyDescent="0.2">
      <c r="B23" s="404" t="str">
        <f>HLOOKUP('4 Language'!$B$2,'4 Language'!$C$12:$H$307,192)</f>
        <v>Nachdruckzeit (gesamt)</v>
      </c>
      <c r="C23" s="465"/>
      <c r="D23" s="465"/>
      <c r="E23" s="465"/>
      <c r="F23" s="465"/>
      <c r="G23" s="465"/>
      <c r="H23" s="465"/>
      <c r="I23" s="466" t="s">
        <v>1738</v>
      </c>
      <c r="J23" s="864">
        <f>MAX(SUM(AM22:AQ22),AP24)</f>
        <v>0</v>
      </c>
      <c r="K23" s="864"/>
      <c r="L23" s="470"/>
      <c r="M23" s="865"/>
      <c r="N23" s="865"/>
      <c r="P23" s="258" t="str">
        <f>IF(AS27=4,AT18,IF(AS27=5,AT17,AT19))</f>
        <v xml:space="preserve">wegabhängig  </v>
      </c>
      <c r="Q23" s="269"/>
      <c r="R23" s="269"/>
      <c r="S23" s="276"/>
      <c r="T23" s="276"/>
      <c r="U23" s="268"/>
      <c r="V23" s="276"/>
      <c r="W23" s="276"/>
      <c r="X23" s="279"/>
      <c r="Y23" s="279"/>
      <c r="Z23" s="279"/>
      <c r="AA23" s="279"/>
      <c r="AB23" s="279"/>
      <c r="AC23" s="279"/>
      <c r="AD23" s="279"/>
      <c r="AE23" s="279"/>
      <c r="AJ23" s="312"/>
      <c r="AK23" s="255" t="str">
        <f>HLOOKUP('4 Language'!$B$8,'4 Language'!$C$12:$H$307,38)</f>
        <v>Druck</v>
      </c>
      <c r="AL23" s="262"/>
      <c r="AM23" s="394">
        <f>'1 Injection molding 2K . 3K'!R43</f>
        <v>0</v>
      </c>
      <c r="AN23" s="394">
        <f>'1 Injection molding 2K . 3K'!R44</f>
        <v>0</v>
      </c>
      <c r="AO23" s="395">
        <f>'1 Injection molding 2K . 3K'!R45</f>
        <v>0</v>
      </c>
      <c r="AP23" s="395">
        <f>'1 Injection molding 2K . 3K'!R46</f>
        <v>0</v>
      </c>
      <c r="AQ23" s="396">
        <f>'1 Injection molding 2K . 3K'!R47</f>
        <v>0</v>
      </c>
      <c r="AR23" s="314"/>
      <c r="AS23" s="314"/>
      <c r="AT23" s="314"/>
      <c r="AU23" s="72"/>
      <c r="AV23" s="720" t="str" cm="1">
        <f t="array" ref="AV23">IF(AW23=J23,"Ü",IF(AW23=M23,"E",X))</f>
        <v>Ü</v>
      </c>
      <c r="AW23" s="721">
        <f>IF(M23="",J23,M23)</f>
        <v>0</v>
      </c>
      <c r="AX23"/>
      <c r="AY23" s="315"/>
    </row>
    <row r="24" spans="2:51" ht="19.5" customHeight="1" x14ac:dyDescent="0.2">
      <c r="B24" s="404" t="str">
        <f>HLOOKUP('4 Language'!$B$2,'4 Language'!$C$12:$H$307,193)</f>
        <v>Nachdruck (max)</v>
      </c>
      <c r="C24" s="465"/>
      <c r="D24" s="465"/>
      <c r="E24" s="465"/>
      <c r="F24" s="465"/>
      <c r="G24" s="465"/>
      <c r="H24" s="465"/>
      <c r="I24" s="466" t="s">
        <v>1747</v>
      </c>
      <c r="J24" s="870">
        <f>MAX(AM23:AQ23)</f>
        <v>0</v>
      </c>
      <c r="K24" s="870"/>
      <c r="L24" s="470"/>
      <c r="M24" s="877"/>
      <c r="N24" s="877"/>
      <c r="P24" s="881" t="str">
        <f>HLOOKUP('4 Language'!$B$8,'4 Language'!$C$12:$H$307,217)</f>
        <v>Verhältnis Nachdruckvolumen zu Schußvolumen</v>
      </c>
      <c r="Q24" s="881"/>
      <c r="R24" s="881"/>
      <c r="S24" s="881"/>
      <c r="T24" s="881"/>
      <c r="AH24" s="70"/>
      <c r="AJ24" s="312"/>
      <c r="AK24" s="255" t="str">
        <f>HLOOKUP('4 Language'!$B$8,'4 Language'!$C$12:$H$307,39)</f>
        <v>Nachdruckzeit</v>
      </c>
      <c r="AL24" s="347"/>
      <c r="AM24" s="347"/>
      <c r="AN24" s="348"/>
      <c r="AO24" s="349"/>
      <c r="AP24" s="344">
        <f>'1 Injection molding 2K . 3K'!T48</f>
        <v>0</v>
      </c>
      <c r="AQ24" s="324" t="s">
        <v>1776</v>
      </c>
      <c r="AR24" s="314"/>
      <c r="AS24" s="350">
        <f>IF(AND(AR22=0,AP24=0),1,IF(AND(AR22=0,AP24&gt;0),2,IF(AND(AR22&gt;0,AP24=0),3,IF(AND(AR22&gt;0,AP24&gt;0,AR22=AP24),4,5))))</f>
        <v>3</v>
      </c>
      <c r="AT24" s="314"/>
      <c r="AU24" s="72"/>
      <c r="AV24" s="720"/>
      <c r="AW24" s="721">
        <f>IF(M24="",J24,M24)</f>
        <v>0</v>
      </c>
      <c r="AX24"/>
      <c r="AY24" s="315"/>
    </row>
    <row r="25" spans="2:51" ht="19.5" customHeight="1" x14ac:dyDescent="0.2">
      <c r="B25" s="404" t="str">
        <f>HLOOKUP('4 Language'!$B$8,'4 Language'!$C$12:$H$307,41)</f>
        <v>Siegelzeit</v>
      </c>
      <c r="C25" s="465"/>
      <c r="D25" s="465"/>
      <c r="E25" s="465"/>
      <c r="F25" s="465"/>
      <c r="G25" s="465"/>
      <c r="H25" s="465"/>
      <c r="I25" s="466" t="s">
        <v>1738</v>
      </c>
      <c r="J25" s="864">
        <f>AP25</f>
        <v>0</v>
      </c>
      <c r="K25" s="864"/>
      <c r="L25" s="470"/>
      <c r="M25" s="865"/>
      <c r="N25" s="865"/>
      <c r="P25" s="882"/>
      <c r="Q25" s="882"/>
      <c r="R25" s="882"/>
      <c r="S25" s="882"/>
      <c r="T25" s="882"/>
      <c r="U25" s="256"/>
      <c r="V25" s="257" t="s">
        <v>1736</v>
      </c>
      <c r="W25" s="880" t="str">
        <f>IF(ISERROR(W22/J17*100),"--",W22/J17*100)</f>
        <v>--</v>
      </c>
      <c r="X25" s="880"/>
      <c r="Y25" s="256"/>
      <c r="Z25" s="256"/>
      <c r="AA25" s="256"/>
      <c r="AB25" s="880" t="str">
        <f>IF(ISERROR(AB22/M17*100),"--",AB22/M17*100)</f>
        <v>--</v>
      </c>
      <c r="AC25" s="880"/>
      <c r="AD25" s="256"/>
      <c r="AE25" s="256"/>
      <c r="AF25" s="306"/>
      <c r="AG25" s="306"/>
      <c r="AJ25" s="312"/>
      <c r="AK25" s="321" t="str">
        <f>HLOOKUP('4 Language'!$B$8,'4 Language'!$C$12:$H$307,41)</f>
        <v>Siegelzeit</v>
      </c>
      <c r="AL25" s="351"/>
      <c r="AM25" s="351"/>
      <c r="AN25" s="351"/>
      <c r="AO25" s="351"/>
      <c r="AP25" s="344">
        <f>'1 Injection molding 2K . 3K'!T52</f>
        <v>0</v>
      </c>
      <c r="AQ25" s="324" t="s">
        <v>1776</v>
      </c>
      <c r="AR25" s="314"/>
      <c r="AS25" s="314"/>
      <c r="AT25" s="314"/>
      <c r="AU25" s="72"/>
      <c r="AV25" s="720"/>
      <c r="AW25" s="721">
        <f t="shared" ref="AW25:AW27" si="4">IF(M25="",J25,M25)</f>
        <v>0</v>
      </c>
      <c r="AX25"/>
      <c r="AY25" s="315"/>
    </row>
    <row r="26" spans="2:51" ht="19.5" customHeight="1" x14ac:dyDescent="0.2">
      <c r="B26" s="404" t="str">
        <f>HLOOKUP('4 Language'!$B$2,'4 Language'!$C$12:$H$307,42)</f>
        <v>Restkühlzeit</v>
      </c>
      <c r="C26" s="465"/>
      <c r="D26" s="465"/>
      <c r="E26" s="465"/>
      <c r="F26" s="465"/>
      <c r="G26" s="465"/>
      <c r="H26" s="465"/>
      <c r="I26" s="466" t="s">
        <v>1738</v>
      </c>
      <c r="J26" s="864">
        <f>AP26</f>
        <v>0</v>
      </c>
      <c r="K26" s="864"/>
      <c r="L26" s="470"/>
      <c r="M26" s="865"/>
      <c r="N26" s="865"/>
      <c r="P26" s="881" t="str">
        <f>HLOOKUP('4 Language'!$B$8,'4 Language'!$C$12:$H$307,218)</f>
        <v>Differenz der angegebenen Zeiten zum Gesamtzyklus</v>
      </c>
      <c r="Q26" s="881"/>
      <c r="R26" s="881"/>
      <c r="S26" s="881"/>
      <c r="T26" s="881"/>
      <c r="AH26" s="70"/>
      <c r="AJ26" s="312"/>
      <c r="AK26" s="321" t="str">
        <f>HLOOKUP('4 Language'!$B$8,'4 Language'!$C$12:$H$307,42)</f>
        <v>Restkühlzeit</v>
      </c>
      <c r="AL26" s="352"/>
      <c r="AM26" s="352"/>
      <c r="AN26" s="352"/>
      <c r="AO26" s="352"/>
      <c r="AP26" s="344">
        <f>'1 Injection molding 2K . 3K'!T53</f>
        <v>0</v>
      </c>
      <c r="AQ26" s="324" t="s">
        <v>1776</v>
      </c>
      <c r="AR26" s="314"/>
      <c r="AS26" s="314"/>
      <c r="AT26" s="353"/>
      <c r="AU26" s="72"/>
      <c r="AV26" s="720" t="str" cm="1">
        <f t="array" ref="AV26">IF(AW26=J26,"Ü",IF(AW26=M26,"E",X))</f>
        <v>Ü</v>
      </c>
      <c r="AW26" s="721">
        <f t="shared" si="4"/>
        <v>0</v>
      </c>
      <c r="AX26"/>
      <c r="AY26" s="315"/>
    </row>
    <row r="27" spans="2:51" ht="19.5" customHeight="1" x14ac:dyDescent="0.2">
      <c r="B27" s="404" t="str">
        <f>HLOOKUP('4 Language'!$B$2,'4 Language'!$C$12:$H$307,47)</f>
        <v xml:space="preserve">Umschaltpunkt </v>
      </c>
      <c r="C27" s="465"/>
      <c r="D27" s="465"/>
      <c r="E27" s="465"/>
      <c r="F27" s="465"/>
      <c r="G27" s="465"/>
      <c r="H27" s="479"/>
      <c r="I27" s="466" t="str">
        <f>"["&amp;IF(AS27=3,"bar",IF(AS27=5,"mm",IF(AS27=4,"cm³"," --")))&amp;"] "</f>
        <v xml:space="preserve">[mm] </v>
      </c>
      <c r="J27" s="864">
        <f>AP28</f>
        <v>0</v>
      </c>
      <c r="K27" s="864"/>
      <c r="L27" s="470"/>
      <c r="M27" s="903"/>
      <c r="N27" s="903"/>
      <c r="P27" s="882"/>
      <c r="Q27" s="882"/>
      <c r="R27" s="882"/>
      <c r="S27" s="882"/>
      <c r="T27" s="882"/>
      <c r="U27" s="256"/>
      <c r="V27" s="257" t="s">
        <v>1738</v>
      </c>
      <c r="W27" s="880">
        <f>IF(ISERROR(J19-(J22+J23+J26+$AP$43)),"--",J19-(J22+J23+J26+$AP$43))</f>
        <v>0</v>
      </c>
      <c r="X27" s="880"/>
      <c r="Y27" s="256"/>
      <c r="Z27" s="256"/>
      <c r="AA27" s="256"/>
      <c r="AB27" s="880">
        <f>IF(ISERROR(AW19-(AW22+AW23+AW26+$AP$43)),"--",AW19-(AW22+AW23+AW26+$AP$43))</f>
        <v>0</v>
      </c>
      <c r="AC27" s="880"/>
      <c r="AD27" s="256"/>
      <c r="AE27" s="256"/>
      <c r="AH27" s="70"/>
      <c r="AJ27" s="312"/>
      <c r="AK27" s="429" t="str">
        <f>IF(OR(AS27=1,AS27=2),"Keine Berechnung möglich bei Fehleingabe oder Auswahl -druckabhängig- !","")</f>
        <v/>
      </c>
      <c r="AL27" s="314"/>
      <c r="AM27" s="314"/>
      <c r="AN27" s="314"/>
      <c r="AO27" s="354"/>
      <c r="AP27" s="355"/>
      <c r="AQ27" s="355"/>
      <c r="AR27" s="314"/>
      <c r="AS27" s="350">
        <f>'1 Injection molding 2K . 3K'!AI21</f>
        <v>5</v>
      </c>
      <c r="AT27" s="353"/>
      <c r="AU27" s="72"/>
      <c r="AV27" s="720"/>
      <c r="AW27" s="721">
        <f t="shared" si="4"/>
        <v>0</v>
      </c>
      <c r="AX27"/>
      <c r="AY27" s="315"/>
    </row>
    <row r="28" spans="2:51" ht="19.5" customHeight="1" x14ac:dyDescent="0.2">
      <c r="B28" s="263" t="str">
        <f>AO28</f>
        <v xml:space="preserve">wegabhängig  </v>
      </c>
      <c r="P28" s="881" t="str">
        <f>HLOOKUP('4 Language'!$B$8,'4 Language'!$C$12:$H$307,219)</f>
        <v>Differenz zwischen Restkühlzeit und Dosierzeit</v>
      </c>
      <c r="Q28" s="881"/>
      <c r="R28" s="881"/>
      <c r="S28" s="881"/>
      <c r="T28" s="881"/>
      <c r="AH28" s="70"/>
      <c r="AJ28" s="312"/>
      <c r="AK28" s="400" t="str">
        <f>HLOOKUP('4 Language'!$B$8,'4 Language'!$C$12:$H$307,43)</f>
        <v xml:space="preserve">Umschaltung abhängig von </v>
      </c>
      <c r="AL28" s="401"/>
      <c r="AM28" s="401"/>
      <c r="AN28" s="401"/>
      <c r="AO28" s="430" t="str">
        <f>IF(AS27=1,AT19,IF(AS27=2,AT19,IF(AS27=3,AT16,IF(AS27=4,AT18,AT17))))</f>
        <v xml:space="preserve">wegabhängig  </v>
      </c>
      <c r="AP28" s="402">
        <f>'1 Injection molding 2K . 3K'!T39</f>
        <v>0</v>
      </c>
      <c r="AQ28" s="431" t="str">
        <f>IF(AS27=3," [bar]",IF(AS27=5," [mm]",IF(AS27=4," [cm³]"," --")))</f>
        <v xml:space="preserve"> [mm]</v>
      </c>
      <c r="AR28" s="314"/>
      <c r="AS28" s="314"/>
      <c r="AT28" s="353"/>
      <c r="AU28" s="72"/>
      <c r="AV28" s="314"/>
      <c r="AX28"/>
      <c r="AY28" s="315"/>
    </row>
    <row r="29" spans="2:51" ht="19.5" customHeight="1" x14ac:dyDescent="0.2">
      <c r="B29" s="400" t="str">
        <f>HLOOKUP('4 Language'!$B$2,'4 Language'!$C$12:$H$307,49)</f>
        <v>Massepolster (siehe "Prozessüberwachung")</v>
      </c>
      <c r="C29" s="463"/>
      <c r="D29" s="463"/>
      <c r="E29" s="463"/>
      <c r="F29" s="463"/>
      <c r="G29" s="474"/>
      <c r="H29" s="473" t="s">
        <v>1748</v>
      </c>
      <c r="I29" s="476" t="s">
        <v>1746</v>
      </c>
      <c r="J29" s="477">
        <f>AO29</f>
        <v>0</v>
      </c>
      <c r="K29" s="478">
        <f>AQ29</f>
        <v>0</v>
      </c>
      <c r="L29" s="473"/>
      <c r="M29" s="264"/>
      <c r="N29" s="265"/>
      <c r="P29" s="882"/>
      <c r="Q29" s="882"/>
      <c r="R29" s="882"/>
      <c r="S29" s="882"/>
      <c r="T29" s="882"/>
      <c r="U29" s="256"/>
      <c r="V29" s="257" t="s">
        <v>1738</v>
      </c>
      <c r="W29" s="880" t="str">
        <f>IF(ISERROR(J26-J18),"--",J26-J18)</f>
        <v>--</v>
      </c>
      <c r="X29" s="880"/>
      <c r="Y29" s="256"/>
      <c r="Z29" s="280"/>
      <c r="AA29" s="256"/>
      <c r="AB29" s="880" t="str">
        <f>IF(ISERROR(AW26-M18),"--",AW26-M18)</f>
        <v>--</v>
      </c>
      <c r="AC29" s="880"/>
      <c r="AD29" s="266"/>
      <c r="AE29" s="280"/>
      <c r="AH29" s="320" t="s">
        <v>1763</v>
      </c>
      <c r="AJ29" s="312"/>
      <c r="AK29" s="400" t="str">
        <f>HLOOKUP('4 Language'!$B$8,'4 Language'!$C$12:$H$307,48)</f>
        <v>Massepolster abhängig von</v>
      </c>
      <c r="AL29" s="401"/>
      <c r="AM29" s="401"/>
      <c r="AN29" s="430" t="str">
        <f>IF(AS27=1,AT19,IF(AS27=2,AT19,IF(AS27=3,AT16,IF(AS27=4,AT18,AT17))))</f>
        <v xml:space="preserve">wegabhängig  </v>
      </c>
      <c r="AO29" s="403">
        <f>'1 Injection molding 2K . 3K'!R40</f>
        <v>0</v>
      </c>
      <c r="AP29" s="431" t="str">
        <f>IF(AS27=5," [mm]",IF(AS27=4," [cm³]"," --"))</f>
        <v xml:space="preserve"> [mm]</v>
      </c>
      <c r="AQ29" s="403">
        <f>'1 Injection molding 2K . 3K'!T40</f>
        <v>0</v>
      </c>
      <c r="AR29" s="314"/>
      <c r="AS29" s="314"/>
      <c r="AT29" s="353"/>
      <c r="AU29" s="72"/>
      <c r="AV29" s="720" t="str" cm="1">
        <f t="array" ref="AV29">IF(AW29=J29,"Ü",IF(AW29=M29,"E",X))</f>
        <v>Ü</v>
      </c>
      <c r="AW29" s="721">
        <f t="shared" ref="AW29:AX29" si="5">IF(M29="",J29,M29)</f>
        <v>0</v>
      </c>
      <c r="AX29" s="721">
        <f t="shared" si="5"/>
        <v>0</v>
      </c>
      <c r="AY29" s="315"/>
    </row>
    <row r="30" spans="2:51" ht="19.5" customHeight="1" x14ac:dyDescent="0.2">
      <c r="B30" s="404" t="str">
        <f>HLOOKUP('4 Language'!$B$2,'4 Language'!$C$12:$H$307,50)</f>
        <v>Staudruck (spezifisch)</v>
      </c>
      <c r="C30" s="465"/>
      <c r="D30" s="465"/>
      <c r="E30" s="465"/>
      <c r="F30" s="465"/>
      <c r="G30" s="465"/>
      <c r="H30" s="465"/>
      <c r="I30" s="470" t="s">
        <v>1749</v>
      </c>
      <c r="J30" s="864">
        <f>AP30</f>
        <v>0</v>
      </c>
      <c r="K30" s="864"/>
      <c r="L30" s="470"/>
      <c r="M30" s="875"/>
      <c r="N30" s="875"/>
      <c r="P30" s="881" t="str">
        <f>HLOOKUP('4 Language'!$B$8,'4 Language'!$C$12:$H$307,220)</f>
        <v>Differenz zwischen Nachdruck- und Siegelzeit</v>
      </c>
      <c r="Q30" s="881"/>
      <c r="R30" s="881"/>
      <c r="S30" s="881"/>
      <c r="T30" s="881"/>
      <c r="AH30" s="70"/>
      <c r="AJ30" s="312"/>
      <c r="AK30" s="400" t="str">
        <f>HLOOKUP('4 Language'!$B$8,'4 Language'!$C$12:$H$307,50)</f>
        <v>Staudruck (spezifisch)</v>
      </c>
      <c r="AL30" s="405"/>
      <c r="AM30" s="405"/>
      <c r="AN30" s="405"/>
      <c r="AO30" s="405"/>
      <c r="AP30" s="411">
        <f>'1 Injection molding 2K . 3K'!T32</f>
        <v>0</v>
      </c>
      <c r="AQ30" s="324" t="s">
        <v>1783</v>
      </c>
      <c r="AR30" s="314"/>
      <c r="AS30" s="314"/>
      <c r="AT30" s="353"/>
      <c r="AU30" s="72"/>
      <c r="AV30" s="72"/>
      <c r="AW30" s="72"/>
      <c r="AX30"/>
      <c r="AY30" s="315"/>
    </row>
    <row r="31" spans="2:51" ht="19.5" customHeight="1" x14ac:dyDescent="0.2">
      <c r="B31" s="404" t="str">
        <f>HLOOKUP('4 Language'!$B$2,'4 Language'!$C$12:$H$307,51)</f>
        <v>Schneckendrehzahl</v>
      </c>
      <c r="C31" s="465"/>
      <c r="D31" s="465"/>
      <c r="E31" s="465"/>
      <c r="F31" s="465"/>
      <c r="G31" s="465"/>
      <c r="H31" s="465"/>
      <c r="I31" s="466" t="s">
        <v>1778</v>
      </c>
      <c r="J31" s="870">
        <f>AP31</f>
        <v>0</v>
      </c>
      <c r="K31" s="870"/>
      <c r="L31" s="470"/>
      <c r="M31" s="875"/>
      <c r="N31" s="875"/>
      <c r="P31" s="882"/>
      <c r="Q31" s="882"/>
      <c r="R31" s="882"/>
      <c r="S31" s="882"/>
      <c r="T31" s="882"/>
      <c r="U31" s="256"/>
      <c r="V31" s="257" t="s">
        <v>1738</v>
      </c>
      <c r="W31" s="880">
        <f>J23-J25</f>
        <v>0</v>
      </c>
      <c r="X31" s="880"/>
      <c r="Y31" s="256"/>
      <c r="Z31" s="280"/>
      <c r="AA31" s="256"/>
      <c r="AB31" s="880">
        <f>AW23-AW25</f>
        <v>0</v>
      </c>
      <c r="AC31" s="880"/>
      <c r="AD31" s="266"/>
      <c r="AE31" s="280"/>
      <c r="AF31" s="306"/>
      <c r="AG31" s="306"/>
      <c r="AH31" s="320" t="s">
        <v>1764</v>
      </c>
      <c r="AJ31" s="312"/>
      <c r="AK31" s="400" t="str">
        <f>HLOOKUP('4 Language'!$B$8,'4 Language'!$C$12:$H$307,51)</f>
        <v>Schneckendrehzahl</v>
      </c>
      <c r="AL31" s="405"/>
      <c r="AM31" s="405"/>
      <c r="AN31" s="405"/>
      <c r="AO31" s="413">
        <f>'1 Injection molding 2K . 3K'!R28</f>
        <v>0</v>
      </c>
      <c r="AP31" s="344">
        <f>'1 Injection molding 2K . 3K'!T28</f>
        <v>0</v>
      </c>
      <c r="AQ31" s="324" t="s">
        <v>1786</v>
      </c>
      <c r="AR31" s="314"/>
      <c r="AS31" s="314"/>
      <c r="AT31" s="314"/>
      <c r="AU31" s="72"/>
      <c r="AV31" s="720" t="str" cm="1">
        <f t="array" ref="AV31">IF(AW31=J31,"Ü",IF(AW31=M31,"E",X))</f>
        <v>Ü</v>
      </c>
      <c r="AW31" s="721">
        <f t="shared" ref="AW31:AW32" si="6">IF(M31="",J31,M31)</f>
        <v>0</v>
      </c>
      <c r="AX31"/>
      <c r="AY31" s="315"/>
    </row>
    <row r="32" spans="2:51" ht="19.5" customHeight="1" x14ac:dyDescent="0.2">
      <c r="B32" s="400" t="str">
        <f>HLOOKUP('4 Language'!$B$2,'4 Language'!$C$12:$H$307,53)</f>
        <v>Dosiergeschwindigkeit</v>
      </c>
      <c r="C32" s="463"/>
      <c r="D32" s="463"/>
      <c r="E32" s="463"/>
      <c r="F32" s="463"/>
      <c r="G32" s="482"/>
      <c r="H32" s="463"/>
      <c r="I32" s="464" t="s">
        <v>1750</v>
      </c>
      <c r="J32" s="887">
        <f>IF(ISERROR((J13*PI())*J31*0.00001666),"--",(J13*PI())*J31*0.00001666)</f>
        <v>0</v>
      </c>
      <c r="K32" s="887"/>
      <c r="L32" s="473"/>
      <c r="M32" s="888">
        <f>IF(ISERROR((AW13*PI())*AW31*0.00001666),"--",(AW13*PI())*AW31*0.00001666)</f>
        <v>0</v>
      </c>
      <c r="N32" s="888"/>
      <c r="P32" s="881" t="str">
        <f>HLOOKUP('4 Language'!$B$8,'4 Language'!$C$12:$H$307,221)&amp;"  [+/-]"</f>
        <v>Verhältnis Einspritzzeit zur angegebenen Toleranz  [+/-]</v>
      </c>
      <c r="Q32" s="881"/>
      <c r="R32" s="881"/>
      <c r="S32" s="881"/>
      <c r="T32" s="881"/>
      <c r="AJ32" s="312"/>
      <c r="AK32" s="398"/>
      <c r="AL32" s="72"/>
      <c r="AM32" s="72"/>
      <c r="AN32" s="314"/>
      <c r="AO32" s="314"/>
      <c r="AP32" s="314"/>
      <c r="AQ32" s="399"/>
      <c r="AR32" s="314"/>
      <c r="AS32" s="314"/>
      <c r="AT32" s="314"/>
      <c r="AU32" s="72"/>
      <c r="AV32" s="72"/>
      <c r="AW32" s="721">
        <f t="shared" si="6"/>
        <v>0</v>
      </c>
      <c r="AX32"/>
      <c r="AY32" s="315"/>
    </row>
    <row r="33" spans="2:51" ht="19.5" customHeight="1" x14ac:dyDescent="0.2">
      <c r="B33" s="400" t="str">
        <f>HLOOKUP('4 Language'!$B$2,'4 Language'!$C$12:$H$307,81)</f>
        <v>Dichte (Feststoff)</v>
      </c>
      <c r="C33" s="463"/>
      <c r="D33" s="463"/>
      <c r="E33" s="463"/>
      <c r="F33" s="463"/>
      <c r="G33" s="463"/>
      <c r="H33" s="463"/>
      <c r="I33" s="464" t="s">
        <v>1751</v>
      </c>
      <c r="J33" s="871" t="str">
        <f t="shared" ref="J33:J42" si="7">AP33</f>
        <v>select</v>
      </c>
      <c r="K33" s="871"/>
      <c r="L33" s="473"/>
      <c r="M33" s="872"/>
      <c r="N33" s="872"/>
      <c r="P33" s="882"/>
      <c r="Q33" s="882"/>
      <c r="R33" s="882"/>
      <c r="S33" s="882"/>
      <c r="T33" s="882"/>
      <c r="U33" s="256"/>
      <c r="V33" s="257" t="s">
        <v>1736</v>
      </c>
      <c r="W33" s="880" t="str">
        <f>IF(ISERROR(K22/J22*100),"--",K22/J22*100)</f>
        <v>--</v>
      </c>
      <c r="X33" s="880"/>
      <c r="Y33" s="266"/>
      <c r="Z33" s="280"/>
      <c r="AA33" s="266"/>
      <c r="AB33" s="880" t="str">
        <f>IF(ISERROR(AX22/AW22*100),"--",AX22/AW22*100)</f>
        <v>--</v>
      </c>
      <c r="AC33" s="880"/>
      <c r="AD33" s="266"/>
      <c r="AE33" s="280"/>
      <c r="AH33" s="320" t="s">
        <v>1765</v>
      </c>
      <c r="AJ33" s="312"/>
      <c r="AK33" s="400" t="str">
        <f>HLOOKUP('4 Language'!$B$8,'4 Language'!$C$12:$H$307,81)</f>
        <v>Dichte (Feststoff)</v>
      </c>
      <c r="AL33" s="406"/>
      <c r="AM33" s="406"/>
      <c r="AN33" s="400"/>
      <c r="AO33" s="407"/>
      <c r="AP33" s="412" t="str">
        <f>'1 Injection molding 2K . 3K'!AN19</f>
        <v>select</v>
      </c>
      <c r="AQ33" s="319" t="s">
        <v>1784</v>
      </c>
      <c r="AR33" s="314"/>
      <c r="AS33" s="314"/>
      <c r="AT33" s="314"/>
      <c r="AU33" s="72"/>
      <c r="AV33" s="72"/>
      <c r="AW33" s="72"/>
      <c r="AX33"/>
      <c r="AY33" s="315"/>
    </row>
    <row r="34" spans="2:51" ht="19.5" customHeight="1" x14ac:dyDescent="0.2">
      <c r="B34" s="404" t="str">
        <f>HLOOKUP('4 Language'!$B$2,'4 Language'!$C$12:$H$307,194)</f>
        <v>Schmelzedichte (Auswahl)</v>
      </c>
      <c r="C34" s="465"/>
      <c r="D34" s="465"/>
      <c r="E34" s="465"/>
      <c r="F34" s="465"/>
      <c r="G34" s="465"/>
      <c r="H34" s="465"/>
      <c r="I34" s="466" t="s">
        <v>1751</v>
      </c>
      <c r="J34" s="873" t="str">
        <f t="shared" si="7"/>
        <v>select</v>
      </c>
      <c r="K34" s="873"/>
      <c r="L34" s="470"/>
      <c r="M34" s="874"/>
      <c r="N34" s="874"/>
      <c r="P34" s="881" t="str">
        <f>HLOOKUP('4 Language'!$B$8,'4 Language'!$C$12:$H$307,222)&amp;"  [+/-]"</f>
        <v>Verhältnis Massepolster zur angegebenen Toleranz  [+/-]</v>
      </c>
      <c r="Q34" s="881"/>
      <c r="R34" s="881"/>
      <c r="S34" s="881"/>
      <c r="T34" s="881"/>
      <c r="AH34" s="70"/>
      <c r="AJ34" s="312"/>
      <c r="AK34" s="400" t="str">
        <f>HLOOKUP('4 Language'!$B$8,'4 Language'!$C$12:$H$307,82)</f>
        <v>Dichte (Schmelze) über Auswahl "Rohstofftyp"</v>
      </c>
      <c r="AL34" s="408"/>
      <c r="AM34" s="408"/>
      <c r="AN34" s="404"/>
      <c r="AO34" s="409"/>
      <c r="AP34" s="328" t="str">
        <f>'1 Injection molding 2K . 3K'!AM19</f>
        <v>select</v>
      </c>
      <c r="AQ34" s="324" t="s">
        <v>1784</v>
      </c>
      <c r="AR34" s="314"/>
      <c r="AS34" s="314"/>
      <c r="AT34" s="314"/>
      <c r="AU34" s="72"/>
      <c r="AV34" s="720" t="str" cm="1">
        <f t="array" ref="AV34">IF(AW34=J34,"Ü",IF(AW34=M34,"E",X))</f>
        <v>Ü</v>
      </c>
      <c r="AW34" s="723" t="str">
        <f t="shared" ref="AW34:AW37" si="8">IF(M34="",J34,M34)</f>
        <v>select</v>
      </c>
      <c r="AX34"/>
      <c r="AY34" s="315"/>
    </row>
    <row r="35" spans="2:51" ht="19.5" customHeight="1" x14ac:dyDescent="0.2">
      <c r="B35" s="404" t="str">
        <f>HLOOKUP('4 Language'!$B$2,'4 Language'!$C$12:$H$307,74)</f>
        <v>Schussgewicht  FS / EMPB   [inkl. Anguss]</v>
      </c>
      <c r="C35" s="465"/>
      <c r="D35" s="465"/>
      <c r="E35" s="465"/>
      <c r="F35" s="465"/>
      <c r="G35" s="465"/>
      <c r="H35" s="465"/>
      <c r="I35" s="466" t="s">
        <v>1752</v>
      </c>
      <c r="J35" s="864">
        <f t="shared" si="7"/>
        <v>0</v>
      </c>
      <c r="K35" s="864"/>
      <c r="L35" s="470"/>
      <c r="M35" s="865"/>
      <c r="N35" s="865"/>
      <c r="P35" s="882"/>
      <c r="Q35" s="882"/>
      <c r="R35" s="882"/>
      <c r="S35" s="882"/>
      <c r="T35" s="882"/>
      <c r="U35" s="256"/>
      <c r="V35" s="257" t="s">
        <v>1736</v>
      </c>
      <c r="W35" s="880" t="str">
        <f>IF(ISERROR(K29/J29*100),"--",K29/J29*100)</f>
        <v>--</v>
      </c>
      <c r="X35" s="880"/>
      <c r="Y35" s="281"/>
      <c r="Z35" s="280"/>
      <c r="AA35" s="281"/>
      <c r="AB35" s="880" t="str">
        <f>IF(ISERROR(AX29/AW29*100),"--",AX29/AW29*100)</f>
        <v>--</v>
      </c>
      <c r="AC35" s="880"/>
      <c r="AD35" s="266"/>
      <c r="AE35" s="280"/>
      <c r="AF35" s="306"/>
      <c r="AG35" s="306"/>
      <c r="AH35" s="320" t="s">
        <v>1766</v>
      </c>
      <c r="AJ35" s="312"/>
      <c r="AK35" s="400" t="str">
        <f>HLOOKUP('4 Language'!$B$8,'4 Language'!$C$12:$H$307,74)</f>
        <v>Schussgewicht  FS / EMPB   [inkl. Anguss]</v>
      </c>
      <c r="AL35" s="410"/>
      <c r="AM35" s="410"/>
      <c r="AN35" s="410"/>
      <c r="AO35" s="410"/>
      <c r="AP35" s="328">
        <f>'1 Injection molding 2K . 3K'!T21</f>
        <v>0</v>
      </c>
      <c r="AQ35" s="324" t="s">
        <v>1785</v>
      </c>
      <c r="AR35" s="314"/>
      <c r="AS35" s="314"/>
      <c r="AT35" s="314"/>
      <c r="AU35" s="72"/>
      <c r="AV35" s="720" t="str" cm="1">
        <f t="array" ref="AV35">IF(AW35=J35,"Ü",IF(AW35=M35,"E",X))</f>
        <v>Ü</v>
      </c>
      <c r="AW35" s="721">
        <f t="shared" si="8"/>
        <v>0</v>
      </c>
      <c r="AX35"/>
      <c r="AY35" s="315"/>
    </row>
    <row r="36" spans="2:51" ht="19.5" customHeight="1" x14ac:dyDescent="0.2">
      <c r="B36" s="480" t="str">
        <f>HLOOKUP('4 Language'!$B$2,'4 Language'!$C$12:$H$307,196)</f>
        <v>Teilegewicht ohne Nachdruck</v>
      </c>
      <c r="C36" s="481"/>
      <c r="D36" s="481"/>
      <c r="E36" s="481"/>
      <c r="F36" s="481"/>
      <c r="G36" s="481"/>
      <c r="H36" s="480" t="s">
        <v>1753</v>
      </c>
      <c r="I36" s="466" t="s">
        <v>1752</v>
      </c>
      <c r="J36" s="866" t="str">
        <f t="shared" si="7"/>
        <v>--</v>
      </c>
      <c r="K36" s="866"/>
      <c r="L36" s="470"/>
      <c r="M36" s="885" t="s">
        <v>234</v>
      </c>
      <c r="N36" s="886"/>
      <c r="O36" s="356"/>
      <c r="AJ36" s="312"/>
      <c r="AK36" s="433" t="str">
        <f>HLOOKUP('4 Language'!$B$8,'4 Language'!$C$12:$H$307,75)</f>
        <v>Teilegewicht ohne Nachdruck je Kavität (gewogen)</v>
      </c>
      <c r="AL36" s="408"/>
      <c r="AM36" s="408"/>
      <c r="AN36" s="408"/>
      <c r="AO36" s="434" t="s">
        <v>1753</v>
      </c>
      <c r="AP36" s="432" t="s">
        <v>234</v>
      </c>
      <c r="AQ36" s="324" t="s">
        <v>1785</v>
      </c>
      <c r="AR36" s="314" t="s">
        <v>1787</v>
      </c>
      <c r="AS36" s="314"/>
      <c r="AT36" s="314"/>
      <c r="AU36" s="72"/>
      <c r="AV36" s="720" t="str" cm="1">
        <f t="array" ref="AV36">IF(AW36=J36,"Ü",IF(AW36=M36,"E",X))</f>
        <v>Ü</v>
      </c>
      <c r="AW36" s="723" t="str">
        <f t="shared" si="8"/>
        <v>--</v>
      </c>
      <c r="AX36"/>
      <c r="AY36" s="315"/>
    </row>
    <row r="37" spans="2:51" ht="19.5" customHeight="1" x14ac:dyDescent="0.2">
      <c r="B37" s="480" t="str">
        <f>HLOOKUP('4 Language'!$B$2,'4 Language'!$C$12:$H$307,196)</f>
        <v>Teilegewicht ohne Nachdruck</v>
      </c>
      <c r="C37" s="481"/>
      <c r="D37" s="481"/>
      <c r="E37" s="481"/>
      <c r="F37" s="481"/>
      <c r="G37" s="481"/>
      <c r="H37" s="480" t="s">
        <v>1754</v>
      </c>
      <c r="I37" s="466" t="s">
        <v>1752</v>
      </c>
      <c r="J37" s="866" t="str">
        <f t="shared" si="7"/>
        <v>--</v>
      </c>
      <c r="K37" s="866"/>
      <c r="L37" s="470"/>
      <c r="M37" s="885" t="s">
        <v>234</v>
      </c>
      <c r="N37" s="886"/>
      <c r="O37" s="356"/>
      <c r="P37" s="255" t="str">
        <f>HLOOKUP('4 Language'!$B$8,'4 Language'!$C$12:$H$307,223)</f>
        <v>Einspritzgeschwindigkeit</v>
      </c>
      <c r="Q37" s="256"/>
      <c r="R37" s="256"/>
      <c r="S37" s="256"/>
      <c r="T37" s="256"/>
      <c r="U37" s="256"/>
      <c r="V37" s="257" t="s">
        <v>1739</v>
      </c>
      <c r="W37" s="880" t="str">
        <f>IF(ISERROR(W8/J22),"--",W8/J22)</f>
        <v>--</v>
      </c>
      <c r="X37" s="880"/>
      <c r="Y37" s="266"/>
      <c r="Z37" s="256"/>
      <c r="AA37" s="266"/>
      <c r="AB37" s="880" t="str">
        <f>IF(ISERROR(AB8/AW22),"--",AB8/AW22)</f>
        <v>--</v>
      </c>
      <c r="AC37" s="880"/>
      <c r="AD37" s="266"/>
      <c r="AE37" s="256"/>
      <c r="AJ37" s="312"/>
      <c r="AK37" s="433" t="str">
        <f>HLOOKUP('4 Language'!$B$8,'4 Language'!$C$12:$H$307,75)</f>
        <v>Teilegewicht ohne Nachdruck je Kavität (gewogen)</v>
      </c>
      <c r="AL37" s="408"/>
      <c r="AM37" s="408"/>
      <c r="AN37" s="408"/>
      <c r="AO37" s="434" t="s">
        <v>1754</v>
      </c>
      <c r="AP37" s="432" t="s">
        <v>234</v>
      </c>
      <c r="AQ37" s="324" t="s">
        <v>1785</v>
      </c>
      <c r="AR37" s="314" t="s">
        <v>1787</v>
      </c>
      <c r="AS37" s="314"/>
      <c r="AT37" s="314"/>
      <c r="AU37" s="72"/>
      <c r="AV37" s="720" t="str" cm="1">
        <f t="array" ref="AV37">IF(AW37=J37,"Ü",IF(AW37=M37,"E",X))</f>
        <v>Ü</v>
      </c>
      <c r="AW37" s="723" t="str">
        <f t="shared" si="8"/>
        <v>--</v>
      </c>
      <c r="AX37"/>
      <c r="AY37" s="315"/>
    </row>
    <row r="38" spans="2:51" ht="19.5" customHeight="1" x14ac:dyDescent="0.2">
      <c r="B38" s="404" t="str">
        <f>HLOOKUP('4 Language'!$B$2,'4 Language'!$C$12:$H$307,197)</f>
        <v>Teilegewicht mit Nachdruck</v>
      </c>
      <c r="C38" s="465"/>
      <c r="D38" s="465"/>
      <c r="E38" s="465"/>
      <c r="F38" s="465"/>
      <c r="G38" s="465"/>
      <c r="H38" s="404" t="s">
        <v>1753</v>
      </c>
      <c r="I38" s="466" t="s">
        <v>1752</v>
      </c>
      <c r="J38" s="864">
        <f t="shared" si="7"/>
        <v>0</v>
      </c>
      <c r="K38" s="864"/>
      <c r="L38" s="470"/>
      <c r="M38" s="878"/>
      <c r="N38" s="878"/>
      <c r="O38" s="356"/>
      <c r="P38" s="258" t="str">
        <f>HLOOKUP('4 Language'!$B$8,'4 Language'!$C$12:$H$307,224)</f>
        <v>mit Verarbeitungsempfehlung des Herstellers zu vergleichen</v>
      </c>
      <c r="AH38" s="70"/>
      <c r="AJ38" s="312"/>
      <c r="AK38" s="400" t="str">
        <f>HLOOKUP('4 Language'!$B$8,'4 Language'!$C$12:$H$307,76)</f>
        <v>Teilegewicht je Kavität (gewogen)</v>
      </c>
      <c r="AL38" s="404"/>
      <c r="AM38" s="404"/>
      <c r="AN38" s="404"/>
      <c r="AO38" s="404" t="s">
        <v>1753</v>
      </c>
      <c r="AP38" s="328">
        <f>'1 Injection molding 2K . 3K'!R55</f>
        <v>0</v>
      </c>
      <c r="AQ38" s="324" t="s">
        <v>1785</v>
      </c>
      <c r="AR38" s="314"/>
      <c r="AS38" s="314"/>
      <c r="AT38" s="314"/>
      <c r="AU38" s="72"/>
      <c r="AV38" s="720" t="str" cm="1">
        <f t="array" ref="AV38">IF(AW38=J38,"Ü",IF(AW38=M38,"E",X))</f>
        <v>Ü</v>
      </c>
      <c r="AW38" s="723">
        <f>IF(M38="",J38,M38)</f>
        <v>0</v>
      </c>
      <c r="AX38"/>
      <c r="AY38" s="315"/>
    </row>
    <row r="39" spans="2:51" ht="19.5" customHeight="1" x14ac:dyDescent="0.2">
      <c r="B39" s="404" t="str">
        <f>HLOOKUP('4 Language'!$B$2,'4 Language'!$C$12:$H$307,197)</f>
        <v>Teilegewicht mit Nachdruck</v>
      </c>
      <c r="C39" s="465"/>
      <c r="D39" s="465"/>
      <c r="E39" s="465"/>
      <c r="F39" s="465"/>
      <c r="G39" s="465"/>
      <c r="H39" s="404" t="s">
        <v>1754</v>
      </c>
      <c r="I39" s="466" t="s">
        <v>1752</v>
      </c>
      <c r="J39" s="864">
        <f t="shared" si="7"/>
        <v>0</v>
      </c>
      <c r="K39" s="864"/>
      <c r="L39" s="470"/>
      <c r="M39" s="865"/>
      <c r="N39" s="865"/>
      <c r="O39" s="356"/>
      <c r="P39" s="881" t="str">
        <f>HLOOKUP('4 Language'!$B$8,'4 Language'!$C$12:$H$307,225)</f>
        <v>Schließkraftberechnung entsprechend Eingabe</v>
      </c>
      <c r="Q39" s="881"/>
      <c r="R39" s="881"/>
      <c r="S39" s="881"/>
      <c r="T39" s="881"/>
      <c r="W39" s="488" t="s">
        <v>1816</v>
      </c>
      <c r="AH39" s="70"/>
      <c r="AJ39" s="312"/>
      <c r="AK39" s="400" t="str">
        <f>HLOOKUP('4 Language'!$B$8,'4 Language'!$C$12:$H$307,76)</f>
        <v>Teilegewicht je Kavität (gewogen)</v>
      </c>
      <c r="AL39" s="409"/>
      <c r="AM39" s="409"/>
      <c r="AN39" s="409"/>
      <c r="AO39" s="408" t="s">
        <v>1754</v>
      </c>
      <c r="AP39" s="328">
        <f>'1 Injection molding 2K . 3K'!T55</f>
        <v>0</v>
      </c>
      <c r="AQ39" s="324" t="s">
        <v>1785</v>
      </c>
      <c r="AR39" s="314"/>
      <c r="AS39" s="314"/>
      <c r="AT39" s="314"/>
      <c r="AU39" s="72"/>
      <c r="AV39" s="720" t="str" cm="1">
        <f t="array" ref="AV39">IF(AW39=J39,"Ü",IF(AW39=M39,"E",X))</f>
        <v>Ü</v>
      </c>
      <c r="AW39" s="723">
        <f>IF(M39="",J39,M39)</f>
        <v>0</v>
      </c>
      <c r="AX39"/>
      <c r="AY39" s="315"/>
    </row>
    <row r="40" spans="2:51" ht="19.5" customHeight="1" x14ac:dyDescent="0.2">
      <c r="B40" s="404" t="str">
        <f>HLOOKUP('4 Language'!$B$8,'4 Language'!$C$12:$H$307,68)</f>
        <v>Eingestellter spezifischer Spritzdruck</v>
      </c>
      <c r="C40" s="465"/>
      <c r="D40" s="465"/>
      <c r="E40" s="465"/>
      <c r="F40" s="465"/>
      <c r="G40" s="465"/>
      <c r="H40" s="404"/>
      <c r="I40" s="470" t="s">
        <v>1749</v>
      </c>
      <c r="J40" s="870">
        <f t="shared" si="7"/>
        <v>0</v>
      </c>
      <c r="K40" s="870"/>
      <c r="L40" s="470"/>
      <c r="M40" s="877"/>
      <c r="N40" s="877"/>
      <c r="O40" s="356"/>
      <c r="P40" s="882"/>
      <c r="Q40" s="882"/>
      <c r="R40" s="882"/>
      <c r="S40" s="882"/>
      <c r="T40" s="882"/>
      <c r="U40" s="256"/>
      <c r="V40" s="282" t="s">
        <v>1740</v>
      </c>
      <c r="W40" s="898">
        <f>IF(ISERROR(J44*J45+J44*J46%+'2.1 K1-Analysis'!W40),"--",J44*J45+J44*J46%+'2.1 K1-Analysis'!W40)</f>
        <v>0</v>
      </c>
      <c r="X40" s="898"/>
      <c r="Y40" s="283"/>
      <c r="Z40" s="284"/>
      <c r="AA40" s="283"/>
      <c r="AB40" s="898">
        <f>IF(ISERROR(M44*AW45+M44*AW46%),"--",M44*AW45+M44*AW46%)</f>
        <v>0</v>
      </c>
      <c r="AC40" s="898"/>
      <c r="AD40" s="283"/>
      <c r="AE40" s="284"/>
      <c r="AF40" s="306"/>
      <c r="AG40" s="306"/>
      <c r="AH40" s="320" t="s">
        <v>1767</v>
      </c>
      <c r="AJ40" s="312"/>
      <c r="AK40" s="400" t="str">
        <f>HLOOKUP('4 Language'!$B$8,'4 Language'!$C$12:$H$307,68)</f>
        <v>Eingestellter spezifischer Spritzdruck</v>
      </c>
      <c r="AL40" s="409"/>
      <c r="AM40" s="409"/>
      <c r="AN40" s="409"/>
      <c r="AO40" s="409"/>
      <c r="AP40" s="328">
        <f>'1 Injection molding 2K . 3K'!T36</f>
        <v>0</v>
      </c>
      <c r="AQ40" s="324" t="s">
        <v>1783</v>
      </c>
      <c r="AR40" s="314"/>
      <c r="AS40" s="314"/>
      <c r="AT40" s="314"/>
      <c r="AU40" s="72"/>
      <c r="AV40" s="720" t="str" cm="1">
        <f t="array" ref="AV40">IF(AW40=J40,"Ü",IF(AW40=M40,"E",X))</f>
        <v>Ü</v>
      </c>
      <c r="AW40" s="723">
        <f t="shared" ref="AW40" si="9">IF(M40="",J40,M40)</f>
        <v>0</v>
      </c>
      <c r="AX40"/>
      <c r="AY40" s="315"/>
    </row>
    <row r="41" spans="2:51" ht="19.5" customHeight="1" x14ac:dyDescent="0.2">
      <c r="B41" s="404" t="str">
        <f>HLOOKUP('4 Language'!$B$8,'4 Language'!$C$12:$H$307,69)</f>
        <v>Abgelesener spezifischer Spritzdruck</v>
      </c>
      <c r="C41" s="465"/>
      <c r="D41" s="465"/>
      <c r="E41" s="465"/>
      <c r="F41" s="465"/>
      <c r="G41" s="465"/>
      <c r="H41" s="404"/>
      <c r="I41" s="470" t="s">
        <v>1749</v>
      </c>
      <c r="J41" s="870">
        <f t="shared" si="7"/>
        <v>0</v>
      </c>
      <c r="K41" s="870"/>
      <c r="L41" s="470"/>
      <c r="M41" s="877"/>
      <c r="N41" s="877"/>
      <c r="O41" s="269"/>
      <c r="P41" s="258" t="str">
        <f>HLOOKUP('4 Language'!$B$8,'4 Language'!$C$12:$H$307,226)</f>
        <v>Auf Basis von projizierter Fläche und Nachdruck</v>
      </c>
      <c r="AJ41" s="312"/>
      <c r="AK41" s="400" t="str">
        <f>HLOOKUP('4 Language'!$B$8,'4 Language'!$C$12:$H$307,69)</f>
        <v>Abgelesener spezifischer Spritzdruck</v>
      </c>
      <c r="AL41" s="409"/>
      <c r="AM41" s="409"/>
      <c r="AN41" s="409"/>
      <c r="AO41" s="409"/>
      <c r="AP41" s="328">
        <f>'1 Injection molding 2K . 3K'!T37</f>
        <v>0</v>
      </c>
      <c r="AQ41" s="324" t="s">
        <v>1783</v>
      </c>
      <c r="AR41" s="314"/>
      <c r="AS41" s="314"/>
      <c r="AT41" s="314"/>
      <c r="AU41" s="72"/>
      <c r="AV41" s="72"/>
      <c r="AW41" s="72"/>
      <c r="AX41"/>
      <c r="AY41" s="315"/>
    </row>
    <row r="42" spans="2:51" ht="19.5" customHeight="1" x14ac:dyDescent="0.2">
      <c r="B42" s="404" t="str">
        <f>HLOOKUP('4 Language'!$B$8,'4 Language'!$C$12:$H$307,70)</f>
        <v>Maximal möglicher spezifischer Spritzdruck</v>
      </c>
      <c r="C42" s="465"/>
      <c r="D42" s="465"/>
      <c r="E42" s="465"/>
      <c r="F42" s="465"/>
      <c r="G42" s="465"/>
      <c r="H42" s="404"/>
      <c r="I42" s="470" t="s">
        <v>1749</v>
      </c>
      <c r="J42" s="870">
        <f t="shared" si="7"/>
        <v>0</v>
      </c>
      <c r="K42" s="870"/>
      <c r="L42" s="470"/>
      <c r="M42" s="884"/>
      <c r="N42" s="884"/>
      <c r="O42" s="269"/>
      <c r="P42" s="881" t="str">
        <f>HLOOKUP('4 Language'!$B$8,'4 Language'!$C$12:$H$307,227)</f>
        <v>Verhältnis berechneter zu eingestellter Schließkraft</v>
      </c>
      <c r="Q42" s="881"/>
      <c r="R42" s="881"/>
      <c r="S42" s="881"/>
      <c r="T42" s="881"/>
      <c r="W42" s="488" t="s">
        <v>1816</v>
      </c>
      <c r="AA42" s="285"/>
      <c r="AC42" s="285"/>
      <c r="AE42" s="285"/>
      <c r="AF42" s="306"/>
      <c r="AG42" s="306"/>
      <c r="AH42" s="70"/>
      <c r="AJ42" s="312"/>
      <c r="AK42" s="400" t="str">
        <f>HLOOKUP('4 Language'!$B$8,'4 Language'!$C$12:$H$307,70)</f>
        <v>Maximal möglicher spezifischer Spritzdruck</v>
      </c>
      <c r="AL42" s="409"/>
      <c r="AM42" s="409"/>
      <c r="AN42" s="409"/>
      <c r="AO42" s="409"/>
      <c r="AP42" s="328">
        <f>'1 Injection molding 2K . 3K'!T38</f>
        <v>0</v>
      </c>
      <c r="AQ42" s="324" t="s">
        <v>1783</v>
      </c>
      <c r="AR42" s="314"/>
      <c r="AS42" s="314"/>
      <c r="AT42" s="314"/>
      <c r="AU42" s="72"/>
      <c r="AV42" s="72"/>
      <c r="AW42" s="72"/>
      <c r="AX42"/>
      <c r="AY42" s="315"/>
    </row>
    <row r="43" spans="2:51" ht="19.5" customHeight="1" x14ac:dyDescent="0.2">
      <c r="O43" s="356"/>
      <c r="P43" s="882"/>
      <c r="Q43" s="882"/>
      <c r="R43" s="882"/>
      <c r="S43" s="882"/>
      <c r="T43" s="882"/>
      <c r="U43" s="256"/>
      <c r="V43" s="282" t="s">
        <v>1736</v>
      </c>
      <c r="W43" s="899" t="str">
        <f>IF(ISERROR(W40/J11*100),"--",W40/J11*100)</f>
        <v>--</v>
      </c>
      <c r="X43" s="899"/>
      <c r="Y43" s="286"/>
      <c r="Z43" s="284"/>
      <c r="AA43" s="287"/>
      <c r="AB43" s="899" t="str">
        <f>IF(ISERROR(AB40/AW11*100),"--",AB40/AW11*100)</f>
        <v>--</v>
      </c>
      <c r="AC43" s="899"/>
      <c r="AD43" s="283"/>
      <c r="AE43" s="284"/>
      <c r="AF43" s="357"/>
      <c r="AG43" s="357"/>
      <c r="AH43" s="320" t="s">
        <v>1768</v>
      </c>
      <c r="AJ43" s="312"/>
      <c r="AK43" s="730" t="str">
        <f>HLOOKUP('4 Language'!$B$8,'4 Language'!$C$12:$H$307,173)</f>
        <v>Zeitpauschale für Werkzeugbewegungen</v>
      </c>
      <c r="AL43" s="731"/>
      <c r="AM43" s="731"/>
      <c r="AN43" s="732"/>
      <c r="AO43" s="732"/>
      <c r="AP43" s="733"/>
      <c r="AQ43" s="734" t="s">
        <v>1776</v>
      </c>
      <c r="AR43" s="314" t="s">
        <v>1788</v>
      </c>
      <c r="AS43" s="314"/>
      <c r="AT43" s="314"/>
      <c r="AU43" s="72"/>
      <c r="AV43" s="314"/>
      <c r="AX43"/>
      <c r="AY43" s="315"/>
    </row>
    <row r="44" spans="2:51" ht="19.5" customHeight="1" x14ac:dyDescent="0.2">
      <c r="B44" s="400" t="str">
        <f>HLOOKUP('4 Language'!$B$8,'4 Language'!$C$12:$H$307,203)</f>
        <v>Benötigte Schließkraft je Kavität</v>
      </c>
      <c r="C44" s="463"/>
      <c r="D44" s="463"/>
      <c r="E44" s="463"/>
      <c r="F44" s="463"/>
      <c r="G44" s="463"/>
      <c r="H44" s="400"/>
      <c r="I44" s="464" t="s">
        <v>1740</v>
      </c>
      <c r="J44" s="900">
        <f>J12*J24/100</f>
        <v>0</v>
      </c>
      <c r="K44" s="900"/>
      <c r="L44" s="400"/>
      <c r="M44" s="900">
        <f>AW12*AW24/100</f>
        <v>0</v>
      </c>
      <c r="N44" s="900"/>
      <c r="O44" s="356"/>
      <c r="P44" s="258" t="str">
        <f>HLOOKUP('4 Language'!$B$8,'4 Language'!$C$12:$H$307,229)</f>
        <v>Eingabe links beachten</v>
      </c>
      <c r="Q44" s="288"/>
      <c r="R44" s="288"/>
      <c r="S44" s="288"/>
      <c r="T44" s="288"/>
      <c r="U44" s="288"/>
      <c r="V44" s="288"/>
      <c r="W44" s="288"/>
      <c r="X44" s="288"/>
      <c r="Y44" s="288"/>
      <c r="Z44" s="288"/>
      <c r="AA44" s="288"/>
      <c r="AC44" s="288"/>
      <c r="AE44" s="288"/>
      <c r="AF44" s="306"/>
      <c r="AG44" s="306"/>
      <c r="AH44" s="70"/>
      <c r="AJ44" s="312"/>
      <c r="AK44" s="398"/>
      <c r="AL44" s="72"/>
      <c r="AM44" s="72"/>
      <c r="AN44" s="314"/>
      <c r="AO44" s="314"/>
      <c r="AP44" s="314"/>
      <c r="AQ44" s="314"/>
      <c r="AR44" s="314"/>
      <c r="AS44" s="314"/>
      <c r="AT44" s="314"/>
      <c r="AU44" s="314"/>
      <c r="AV44" s="314"/>
      <c r="AY44" s="315"/>
    </row>
    <row r="45" spans="2:51" ht="19.5" customHeight="1" x14ac:dyDescent="0.2">
      <c r="B45" s="404" t="str">
        <f>HLOOKUP('4 Language'!$B$8,'4 Language'!$C$12:$H$307,205)</f>
        <v>Gesamtzahl der Kavitäten</v>
      </c>
      <c r="C45" s="465"/>
      <c r="D45" s="465"/>
      <c r="E45" s="465"/>
      <c r="F45" s="465"/>
      <c r="G45" s="465"/>
      <c r="H45" s="404"/>
      <c r="I45" s="466"/>
      <c r="J45" s="876">
        <f>AP45</f>
        <v>0</v>
      </c>
      <c r="K45" s="876"/>
      <c r="L45" s="404"/>
      <c r="M45" s="877"/>
      <c r="N45" s="877"/>
      <c r="O45" s="356"/>
      <c r="P45" s="881" t="str">
        <f>HLOOKUP('4 Language'!$B$8,'4 Language'!$C$12:$H$307,228)</f>
        <v>Verhältnis berechneter zu maximaler Schließkraft</v>
      </c>
      <c r="Q45" s="881"/>
      <c r="R45" s="881"/>
      <c r="S45" s="881"/>
      <c r="T45" s="881"/>
      <c r="U45" s="276"/>
      <c r="V45" s="276"/>
      <c r="W45" s="487" t="s">
        <v>1816</v>
      </c>
      <c r="X45" s="277"/>
      <c r="Y45" s="277"/>
      <c r="Z45" s="277"/>
      <c r="AA45" s="289"/>
      <c r="AF45" s="306"/>
      <c r="AG45" s="306"/>
      <c r="AJ45" s="726"/>
      <c r="AK45" s="400" t="str">
        <f>HLOOKUP('4 Language'!$B$8,'4 Language'!$C$12:$H$307,205)</f>
        <v>Gesamtzahl der Kavitäten</v>
      </c>
      <c r="AL45" s="406"/>
      <c r="AM45" s="406"/>
      <c r="AN45" s="751"/>
      <c r="AO45" s="751"/>
      <c r="AP45" s="323">
        <f>'1 Injection molding 2K . 3K'!AM17</f>
        <v>0</v>
      </c>
      <c r="AQ45" s="751"/>
      <c r="AU45" s="314"/>
      <c r="AV45" s="720"/>
      <c r="AW45" s="721">
        <f>IF(M45="",J45,M45)</f>
        <v>0</v>
      </c>
      <c r="AY45" s="315"/>
    </row>
    <row r="46" spans="2:51" ht="19.5" customHeight="1" x14ac:dyDescent="0.2">
      <c r="B46" s="404" t="str">
        <f>HLOOKUP('4 Language'!$B$8,'4 Language'!$C$12:$H$307,204)&amp;" "&amp;HLOOKUP('4 Language'!$B$8,'4 Language'!$C$12:$H$307,199)</f>
        <v>Eingabe: Zuschlag auf Zuhaltung</v>
      </c>
      <c r="C46" s="465"/>
      <c r="D46" s="465"/>
      <c r="E46" s="465"/>
      <c r="F46" s="465"/>
      <c r="G46" s="465"/>
      <c r="H46" s="404"/>
      <c r="I46" s="466" t="s">
        <v>1736</v>
      </c>
      <c r="J46" s="883">
        <v>10</v>
      </c>
      <c r="K46" s="883"/>
      <c r="L46" s="404"/>
      <c r="M46" s="884"/>
      <c r="N46" s="884"/>
      <c r="O46" s="356"/>
      <c r="P46" s="882"/>
      <c r="Q46" s="882"/>
      <c r="R46" s="882"/>
      <c r="S46" s="882"/>
      <c r="T46" s="882"/>
      <c r="U46" s="256"/>
      <c r="V46" s="282" t="s">
        <v>1736</v>
      </c>
      <c r="W46" s="899" t="str">
        <f>IF(ISERROR(W40/J10*100),"--",W40/J10*100)</f>
        <v>--</v>
      </c>
      <c r="X46" s="899"/>
      <c r="Y46" s="283"/>
      <c r="Z46" s="284"/>
      <c r="AA46" s="283"/>
      <c r="AB46" s="899" t="str">
        <f>IF(ISERROR(AB40/AW10*100),"--",AB40/AW10*100)</f>
        <v>--</v>
      </c>
      <c r="AC46" s="899"/>
      <c r="AD46" s="283"/>
      <c r="AE46" s="284"/>
      <c r="AH46" s="320" t="s">
        <v>1769</v>
      </c>
      <c r="AJ46" s="726"/>
      <c r="AK46" s="359"/>
      <c r="AL46" s="303"/>
      <c r="AM46" s="303"/>
      <c r="AV46" s="720"/>
      <c r="AW46" s="721">
        <f>IF(M46="",J46,M46)</f>
        <v>10</v>
      </c>
      <c r="AY46" s="315"/>
    </row>
    <row r="47" spans="2:51" ht="19.5" customHeight="1" x14ac:dyDescent="0.2">
      <c r="O47" s="356"/>
      <c r="P47" s="263" t="str">
        <f>HLOOKUP('4 Language'!$B$8,'4 Language'!$C$12:$H$307,229)</f>
        <v>Eingabe links beachten</v>
      </c>
      <c r="Q47" s="288"/>
      <c r="R47" s="288"/>
      <c r="S47" s="288"/>
      <c r="T47" s="288"/>
      <c r="U47" s="288"/>
      <c r="V47" s="288"/>
      <c r="W47" s="288"/>
      <c r="X47" s="288"/>
      <c r="Y47" s="288"/>
      <c r="Z47" s="288"/>
      <c r="AA47" s="288"/>
      <c r="AB47" s="288"/>
      <c r="AC47" s="288"/>
      <c r="AD47" s="288"/>
      <c r="AE47" s="288"/>
      <c r="AF47" s="306"/>
      <c r="AG47" s="306"/>
      <c r="AJ47" s="726"/>
      <c r="AK47" s="359"/>
      <c r="AL47" s="303"/>
      <c r="AM47" s="303"/>
      <c r="AX47"/>
      <c r="AY47" s="315"/>
    </row>
    <row r="48" spans="2:51" ht="19.5" customHeight="1" x14ac:dyDescent="0.2">
      <c r="B48" s="742"/>
      <c r="C48" s="743"/>
      <c r="D48" s="743"/>
      <c r="E48" s="743"/>
      <c r="F48" s="743"/>
      <c r="G48" s="743"/>
      <c r="H48" s="743"/>
      <c r="I48" s="743"/>
      <c r="J48" s="743"/>
      <c r="K48" s="743"/>
      <c r="L48" s="743"/>
      <c r="M48" s="743"/>
      <c r="N48" s="744"/>
      <c r="O48" s="288"/>
      <c r="P48" s="255" t="str">
        <f>HLOOKUP('4 Language'!$B$8,'4 Language'!$C$12:$H$330,309)</f>
        <v>Angussgewicht je Bauteil</v>
      </c>
      <c r="Q48" s="256"/>
      <c r="R48" s="256"/>
      <c r="S48" s="256"/>
      <c r="T48" s="256"/>
      <c r="U48" s="745"/>
      <c r="V48" s="282" t="s">
        <v>1752</v>
      </c>
      <c r="W48" s="880" t="str">
        <f>IF(ISERROR(W50/J45),"--",W50/J45)</f>
        <v>--</v>
      </c>
      <c r="X48" s="880"/>
      <c r="Y48" s="266"/>
      <c r="Z48" s="256"/>
      <c r="AA48" s="266"/>
      <c r="AB48" s="880" t="str">
        <f>IF(ISERROR(AB50/AW45),"--",AB50/AW45)</f>
        <v>--</v>
      </c>
      <c r="AC48" s="880"/>
      <c r="AD48" s="266"/>
      <c r="AE48" s="256"/>
      <c r="AF48" s="288"/>
      <c r="AG48" s="288"/>
      <c r="AJ48" s="727"/>
      <c r="AK48" s="728"/>
      <c r="AL48" s="729"/>
      <c r="AM48" s="729"/>
      <c r="AN48" s="724"/>
      <c r="AO48" s="724"/>
      <c r="AP48" s="724"/>
      <c r="AQ48" s="724"/>
      <c r="AR48" s="724"/>
      <c r="AS48" s="724"/>
      <c r="AT48" s="724"/>
      <c r="AU48" s="724"/>
      <c r="AV48" s="724"/>
      <c r="AW48" s="724"/>
      <c r="AX48" s="725"/>
      <c r="AY48" s="358"/>
    </row>
    <row r="49" spans="2:39" ht="18.75" customHeight="1" x14ac:dyDescent="0.2">
      <c r="B49" s="66"/>
      <c r="C49" s="869" t="s">
        <v>1717</v>
      </c>
      <c r="D49" s="869"/>
      <c r="E49" s="869"/>
      <c r="F49" s="869"/>
      <c r="G49" s="869"/>
      <c r="H49" s="869"/>
      <c r="I49" s="869"/>
      <c r="J49" s="869"/>
      <c r="K49" s="869"/>
      <c r="L49" s="869"/>
      <c r="M49" s="869"/>
      <c r="N49" s="267"/>
      <c r="O49" s="739"/>
      <c r="P49" s="732"/>
      <c r="Q49" s="746"/>
      <c r="R49" s="746"/>
      <c r="S49" s="746"/>
      <c r="T49" s="746"/>
      <c r="U49" s="746"/>
      <c r="V49" s="746"/>
      <c r="W49" s="746"/>
      <c r="X49" s="746"/>
      <c r="Y49" s="288"/>
      <c r="Z49" s="288"/>
      <c r="AA49" s="288"/>
      <c r="AB49" s="288"/>
      <c r="AC49" s="288"/>
      <c r="AD49" s="288"/>
      <c r="AE49" s="288"/>
      <c r="AF49" s="306"/>
      <c r="AG49" s="306"/>
      <c r="AJ49" s="303"/>
      <c r="AK49" s="359"/>
      <c r="AL49" s="303"/>
      <c r="AM49" s="303"/>
    </row>
    <row r="50" spans="2:39" ht="19.5" customHeight="1" x14ac:dyDescent="0.2">
      <c r="B50" s="66"/>
      <c r="C50" s="869"/>
      <c r="D50" s="869"/>
      <c r="E50" s="869"/>
      <c r="F50" s="869"/>
      <c r="G50" s="869"/>
      <c r="H50" s="869"/>
      <c r="I50" s="869"/>
      <c r="J50" s="869"/>
      <c r="K50" s="869"/>
      <c r="L50" s="869"/>
      <c r="M50" s="869"/>
      <c r="N50" s="267"/>
      <c r="O50" s="739"/>
      <c r="P50" s="255" t="str">
        <f>HLOOKUP('4 Language'!$B$8,'4 Language'!$C$12:$H$330,308)</f>
        <v>Angussgewicht gesamt</v>
      </c>
      <c r="Q50" s="256"/>
      <c r="R50" s="256"/>
      <c r="S50" s="256"/>
      <c r="T50" s="256"/>
      <c r="U50" s="747"/>
      <c r="V50" s="282" t="s">
        <v>1752</v>
      </c>
      <c r="W50" s="880">
        <f>J35-(AVERAGE(J38:K39)*J45)</f>
        <v>0</v>
      </c>
      <c r="X50" s="880"/>
      <c r="Y50" s="266"/>
      <c r="Z50" s="256"/>
      <c r="AA50" s="266"/>
      <c r="AB50" s="880">
        <f>AW35-(AVERAGE(AW38:AW39)*AW45)</f>
        <v>0</v>
      </c>
      <c r="AC50" s="880"/>
      <c r="AD50" s="266"/>
      <c r="AE50" s="256"/>
      <c r="AF50" s="306"/>
      <c r="AG50" s="306"/>
      <c r="AJ50" s="303"/>
      <c r="AK50" s="359"/>
      <c r="AL50" s="303"/>
      <c r="AM50" s="303"/>
    </row>
    <row r="51" spans="2:39" ht="19.5" customHeight="1" x14ac:dyDescent="0.2">
      <c r="C51" s="869"/>
      <c r="D51" s="869"/>
      <c r="E51" s="869"/>
      <c r="F51" s="869"/>
      <c r="G51" s="869"/>
      <c r="H51" s="869"/>
      <c r="I51" s="869"/>
      <c r="J51" s="869"/>
      <c r="K51" s="869"/>
      <c r="L51" s="869"/>
      <c r="M51" s="869"/>
      <c r="O51" s="739"/>
      <c r="Q51" s="288"/>
      <c r="R51" s="288"/>
      <c r="S51" s="288"/>
      <c r="T51" s="288"/>
      <c r="U51" s="288"/>
      <c r="V51" s="288"/>
      <c r="W51" s="288"/>
      <c r="X51" s="288"/>
      <c r="Y51" s="288"/>
      <c r="Z51" s="288"/>
      <c r="AA51" s="288"/>
      <c r="AB51" s="288"/>
      <c r="AC51" s="288"/>
      <c r="AD51" s="288"/>
      <c r="AE51" s="288"/>
      <c r="AF51" s="306"/>
      <c r="AG51" s="306"/>
      <c r="AJ51" s="303"/>
      <c r="AK51" s="359"/>
      <c r="AL51" s="303"/>
      <c r="AM51" s="303"/>
    </row>
    <row r="52" spans="2:39" ht="12" customHeight="1" x14ac:dyDescent="0.2">
      <c r="B52" s="66"/>
      <c r="C52" s="869"/>
      <c r="D52" s="869"/>
      <c r="E52" s="869"/>
      <c r="F52" s="869"/>
      <c r="G52" s="869"/>
      <c r="H52" s="869"/>
      <c r="I52" s="869"/>
      <c r="J52" s="869"/>
      <c r="K52" s="869"/>
      <c r="L52" s="869"/>
      <c r="M52" s="869"/>
      <c r="N52" s="267"/>
      <c r="O52" s="740"/>
      <c r="P52" s="266"/>
      <c r="Q52" s="290"/>
      <c r="R52" s="290"/>
      <c r="S52" s="290"/>
      <c r="T52" s="290"/>
      <c r="U52" s="290"/>
      <c r="V52" s="290"/>
      <c r="W52" s="290"/>
      <c r="X52" s="290"/>
      <c r="Y52" s="290"/>
      <c r="Z52" s="290"/>
      <c r="AA52" s="290"/>
      <c r="AB52" s="290"/>
      <c r="AC52" s="290"/>
      <c r="AD52" s="290"/>
      <c r="AE52" s="290"/>
      <c r="AF52" s="306"/>
      <c r="AG52" s="306"/>
      <c r="AJ52" s="303"/>
      <c r="AK52" s="359"/>
      <c r="AL52" s="303"/>
      <c r="AM52" s="303"/>
    </row>
    <row r="53" spans="2:39" ht="22.5" customHeight="1" x14ac:dyDescent="0.2">
      <c r="C53" s="869"/>
      <c r="D53" s="869"/>
      <c r="E53" s="869"/>
      <c r="F53" s="869"/>
      <c r="G53" s="869"/>
      <c r="H53" s="869"/>
      <c r="I53" s="869"/>
      <c r="J53" s="869"/>
      <c r="K53" s="869"/>
      <c r="L53" s="869"/>
      <c r="M53" s="869"/>
      <c r="O53" s="741"/>
      <c r="P53" s="66" t="str">
        <f>HLOOKUP('4 Language'!$B$8,'4 Language'!$C$12:$H$307,207)</f>
        <v>Kommentar / Notiz</v>
      </c>
      <c r="Q53" s="288"/>
      <c r="R53" s="288"/>
      <c r="S53" s="288"/>
      <c r="T53" s="288"/>
      <c r="U53" s="288"/>
      <c r="V53" s="288"/>
      <c r="W53" s="288"/>
      <c r="X53" s="288"/>
      <c r="Y53" s="288"/>
      <c r="Z53" s="288"/>
      <c r="AA53" s="288"/>
      <c r="AB53" s="288"/>
      <c r="AC53" s="288"/>
      <c r="AD53" s="288"/>
      <c r="AE53" s="288"/>
      <c r="AF53" s="306"/>
      <c r="AG53" s="306"/>
      <c r="AJ53" s="303"/>
      <c r="AK53" s="359"/>
      <c r="AL53" s="303"/>
      <c r="AM53" s="303"/>
    </row>
    <row r="54" spans="2:39" ht="19.5" customHeight="1" x14ac:dyDescent="0.2">
      <c r="B54" s="706"/>
      <c r="C54" s="869"/>
      <c r="D54" s="869"/>
      <c r="E54" s="869"/>
      <c r="F54" s="869"/>
      <c r="G54" s="869"/>
      <c r="H54" s="869"/>
      <c r="I54" s="869"/>
      <c r="J54" s="869"/>
      <c r="K54" s="869"/>
      <c r="L54" s="869"/>
      <c r="M54" s="869"/>
      <c r="N54" s="706"/>
      <c r="O54" s="288"/>
      <c r="P54" s="735"/>
      <c r="Q54" s="736"/>
      <c r="R54" s="736"/>
      <c r="S54" s="736"/>
      <c r="T54" s="736"/>
      <c r="U54" s="736"/>
      <c r="V54" s="736"/>
      <c r="W54" s="736"/>
      <c r="X54" s="736"/>
      <c r="Y54" s="736"/>
      <c r="Z54" s="736"/>
      <c r="AA54" s="736"/>
      <c r="AB54" s="736"/>
      <c r="AC54" s="736"/>
      <c r="AD54" s="736"/>
      <c r="AE54" s="737"/>
      <c r="AF54" s="306"/>
      <c r="AG54" s="306"/>
      <c r="AJ54" s="303"/>
      <c r="AK54" s="359"/>
      <c r="AL54" s="303"/>
      <c r="AM54" s="303"/>
    </row>
    <row r="55" spans="2:39" ht="19.5" customHeight="1" x14ac:dyDescent="0.2">
      <c r="B55" s="706"/>
      <c r="C55" s="869"/>
      <c r="D55" s="869"/>
      <c r="E55" s="869"/>
      <c r="F55" s="869"/>
      <c r="G55" s="869"/>
      <c r="H55" s="869"/>
      <c r="I55" s="869"/>
      <c r="J55" s="869"/>
      <c r="K55" s="869"/>
      <c r="L55" s="869"/>
      <c r="M55" s="869"/>
      <c r="N55" s="706"/>
      <c r="O55" s="288"/>
      <c r="P55" s="707"/>
      <c r="Q55" s="738"/>
      <c r="R55" s="738"/>
      <c r="S55" s="738"/>
      <c r="T55" s="738"/>
      <c r="U55" s="738"/>
      <c r="V55" s="738"/>
      <c r="W55" s="738"/>
      <c r="X55" s="738"/>
      <c r="Y55" s="738"/>
      <c r="Z55" s="738"/>
      <c r="AA55" s="738"/>
      <c r="AB55" s="738"/>
      <c r="AC55" s="738"/>
      <c r="AD55" s="738"/>
      <c r="AE55" s="708"/>
      <c r="AF55" s="306"/>
      <c r="AG55" s="306"/>
      <c r="AJ55" s="303"/>
      <c r="AK55" s="359"/>
      <c r="AL55" s="303"/>
      <c r="AM55" s="303"/>
    </row>
    <row r="56" spans="2:39" ht="19.5" customHeight="1" x14ac:dyDescent="0.2">
      <c r="B56" s="706"/>
      <c r="C56" s="706"/>
      <c r="D56" s="706"/>
      <c r="E56" s="706"/>
      <c r="F56" s="706"/>
      <c r="G56" s="706"/>
      <c r="H56" s="706"/>
      <c r="I56" s="706"/>
      <c r="J56" s="706"/>
      <c r="K56" s="706"/>
      <c r="L56" s="706"/>
      <c r="M56" s="706"/>
      <c r="N56" s="706"/>
      <c r="O56" s="356"/>
      <c r="P56" s="707"/>
      <c r="Q56" s="738"/>
      <c r="R56" s="738"/>
      <c r="S56" s="738"/>
      <c r="T56" s="738"/>
      <c r="U56" s="738"/>
      <c r="V56" s="738"/>
      <c r="W56" s="738"/>
      <c r="X56" s="738"/>
      <c r="Y56" s="738"/>
      <c r="Z56" s="738"/>
      <c r="AA56" s="738"/>
      <c r="AB56" s="738"/>
      <c r="AC56" s="738"/>
      <c r="AD56" s="738"/>
      <c r="AE56" s="708"/>
      <c r="AF56" s="306"/>
      <c r="AG56" s="306"/>
      <c r="AJ56" s="303"/>
      <c r="AK56" s="359"/>
      <c r="AL56" s="303"/>
      <c r="AM56" s="303"/>
    </row>
    <row r="57" spans="2:39" ht="19.5" customHeight="1" x14ac:dyDescent="0.2">
      <c r="B57" s="712" t="s">
        <v>1755</v>
      </c>
      <c r="C57" s="879" t="s">
        <v>1719</v>
      </c>
      <c r="D57" s="879"/>
      <c r="E57" s="879"/>
      <c r="F57" s="879"/>
      <c r="G57" s="879"/>
      <c r="H57" s="879"/>
      <c r="I57" s="879"/>
      <c r="J57" s="879"/>
      <c r="K57" s="879"/>
      <c r="L57" s="879"/>
      <c r="M57" s="879"/>
      <c r="N57" s="706"/>
      <c r="O57" s="356"/>
      <c r="P57" s="707"/>
      <c r="Q57" s="738"/>
      <c r="R57" s="738"/>
      <c r="S57" s="738"/>
      <c r="T57" s="738"/>
      <c r="U57" s="738"/>
      <c r="V57" s="738"/>
      <c r="W57" s="738"/>
      <c r="X57" s="738"/>
      <c r="Y57" s="738"/>
      <c r="Z57" s="738"/>
      <c r="AA57" s="738"/>
      <c r="AB57" s="738"/>
      <c r="AC57" s="738"/>
      <c r="AD57" s="738"/>
      <c r="AE57" s="708"/>
      <c r="AF57" s="306"/>
      <c r="AG57" s="306"/>
      <c r="AJ57" s="303"/>
      <c r="AK57" s="359"/>
      <c r="AL57" s="303"/>
      <c r="AM57" s="303"/>
    </row>
    <row r="58" spans="2:39" ht="19.5" customHeight="1" x14ac:dyDescent="0.2">
      <c r="C58" s="879"/>
      <c r="D58" s="879"/>
      <c r="E58" s="879"/>
      <c r="F58" s="879"/>
      <c r="G58" s="879"/>
      <c r="H58" s="879"/>
      <c r="I58" s="879"/>
      <c r="J58" s="879"/>
      <c r="K58" s="879"/>
      <c r="L58" s="879"/>
      <c r="M58" s="879"/>
      <c r="N58" s="713"/>
      <c r="O58" s="356"/>
      <c r="P58" s="709"/>
      <c r="Q58" s="710"/>
      <c r="R58" s="710"/>
      <c r="S58" s="710"/>
      <c r="T58" s="710"/>
      <c r="U58" s="710"/>
      <c r="V58" s="710"/>
      <c r="W58" s="710"/>
      <c r="X58" s="710"/>
      <c r="Y58" s="710"/>
      <c r="Z58" s="710"/>
      <c r="AA58" s="710"/>
      <c r="AB58" s="710"/>
      <c r="AC58" s="710"/>
      <c r="AD58" s="710"/>
      <c r="AE58" s="711"/>
      <c r="AF58" s="303"/>
      <c r="AG58" s="303"/>
      <c r="AJ58" s="303"/>
      <c r="AK58" s="359"/>
      <c r="AL58" s="303"/>
      <c r="AM58" s="303"/>
    </row>
    <row r="59" spans="2:39" ht="19.5" customHeight="1" x14ac:dyDescent="0.2">
      <c r="B59" s="712"/>
      <c r="C59" s="713"/>
      <c r="D59" s="713"/>
      <c r="E59" s="713"/>
      <c r="F59" s="713"/>
      <c r="G59" s="713"/>
      <c r="H59" s="713"/>
      <c r="I59" s="713"/>
      <c r="J59" s="713"/>
      <c r="K59" s="713"/>
      <c r="L59" s="713"/>
      <c r="M59" s="713"/>
      <c r="N59" s="713"/>
      <c r="O59" s="356"/>
      <c r="P59" s="273"/>
      <c r="Q59" s="269"/>
      <c r="AF59" s="303"/>
      <c r="AG59" s="303"/>
      <c r="AJ59" s="303"/>
      <c r="AK59" s="359"/>
      <c r="AL59" s="303"/>
      <c r="AM59" s="303"/>
    </row>
    <row r="60" spans="2:39" ht="19.5" customHeight="1" x14ac:dyDescent="0.2">
      <c r="B60" s="267"/>
      <c r="K60" s="268"/>
      <c r="L60" s="269"/>
      <c r="M60" s="268"/>
      <c r="N60" s="269"/>
      <c r="O60" s="356"/>
      <c r="AF60" s="306"/>
      <c r="AG60" s="306"/>
      <c r="AJ60" s="303"/>
      <c r="AK60" s="359"/>
      <c r="AL60" s="303"/>
      <c r="AM60" s="303"/>
    </row>
    <row r="61" spans="2:39" ht="19.5" customHeight="1" x14ac:dyDescent="0.2">
      <c r="B61" s="267"/>
      <c r="C61" s="267"/>
      <c r="D61" s="267"/>
      <c r="E61" s="362"/>
      <c r="F61" s="362"/>
      <c r="G61" s="267"/>
      <c r="J61" s="268"/>
      <c r="K61" s="269"/>
      <c r="L61" s="363"/>
      <c r="M61" s="268"/>
      <c r="N61" s="269"/>
      <c r="O61" s="356"/>
      <c r="P61" s="273"/>
      <c r="Q61" s="269"/>
      <c r="AF61" s="303"/>
      <c r="AG61" s="303"/>
      <c r="AJ61" s="303"/>
      <c r="AK61" s="359"/>
      <c r="AL61" s="303"/>
      <c r="AM61" s="303"/>
    </row>
    <row r="62" spans="2:39" ht="19.5" customHeight="1" x14ac:dyDescent="0.2">
      <c r="B62" s="267"/>
      <c r="C62" s="267"/>
      <c r="D62" s="267"/>
      <c r="E62" s="362"/>
      <c r="F62" s="362"/>
      <c r="G62" s="267"/>
      <c r="J62" s="268"/>
      <c r="K62" s="269"/>
      <c r="L62" s="363"/>
      <c r="M62" s="268"/>
      <c r="N62" s="269"/>
      <c r="O62" s="356"/>
      <c r="P62" s="273"/>
      <c r="Q62" s="269"/>
      <c r="AF62" s="303"/>
      <c r="AG62" s="303"/>
      <c r="AJ62" s="303"/>
      <c r="AK62" s="359"/>
      <c r="AL62" s="303"/>
      <c r="AM62" s="303"/>
    </row>
    <row r="63" spans="2:39" ht="19.5" customHeight="1" x14ac:dyDescent="0.2">
      <c r="B63" s="267"/>
      <c r="C63" s="267"/>
      <c r="D63" s="267"/>
      <c r="E63" s="362"/>
      <c r="F63" s="362"/>
      <c r="G63" s="267"/>
      <c r="J63" s="268"/>
      <c r="K63" s="269"/>
      <c r="L63" s="363"/>
      <c r="M63" s="268"/>
      <c r="N63" s="269"/>
      <c r="O63" s="356"/>
      <c r="P63" s="273"/>
      <c r="Q63" s="269"/>
      <c r="AF63" s="303"/>
      <c r="AG63" s="303"/>
      <c r="AJ63" s="303"/>
      <c r="AK63" s="359"/>
      <c r="AL63" s="303"/>
      <c r="AM63" s="303"/>
    </row>
    <row r="64" spans="2:39" ht="19.5" customHeight="1" x14ac:dyDescent="0.2">
      <c r="B64" s="267"/>
      <c r="C64" s="267"/>
      <c r="D64" s="267"/>
      <c r="E64" s="362"/>
      <c r="F64" s="362"/>
      <c r="G64" s="267"/>
      <c r="J64" s="268"/>
      <c r="K64" s="269"/>
      <c r="L64" s="363"/>
      <c r="M64" s="268"/>
      <c r="N64" s="269"/>
      <c r="O64" s="356"/>
      <c r="P64" s="273"/>
      <c r="Q64" s="269"/>
      <c r="AF64" s="303"/>
      <c r="AG64" s="303"/>
      <c r="AJ64" s="303"/>
      <c r="AK64" s="359"/>
      <c r="AL64" s="303"/>
      <c r="AM64" s="303"/>
    </row>
    <row r="65" spans="2:39" ht="19.5" customHeight="1" x14ac:dyDescent="0.2">
      <c r="B65" s="267"/>
      <c r="C65" s="267"/>
      <c r="D65" s="267"/>
      <c r="E65" s="267"/>
      <c r="F65" s="269"/>
      <c r="G65" s="360"/>
      <c r="H65" s="360"/>
      <c r="I65" s="361"/>
      <c r="J65" s="361"/>
      <c r="K65" s="361"/>
      <c r="L65" s="361"/>
      <c r="M65" s="361"/>
      <c r="N65" s="360"/>
      <c r="O65" s="356"/>
      <c r="P65" s="273"/>
      <c r="Q65" s="269"/>
      <c r="AF65" s="303"/>
      <c r="AG65" s="303"/>
      <c r="AJ65" s="303"/>
      <c r="AK65" s="359"/>
      <c r="AL65" s="303"/>
      <c r="AM65" s="303"/>
    </row>
    <row r="66" spans="2:39" ht="9" customHeight="1" x14ac:dyDescent="0.2">
      <c r="B66" s="267"/>
      <c r="C66" s="267"/>
      <c r="D66" s="267"/>
      <c r="E66" s="267"/>
      <c r="F66" s="269"/>
      <c r="G66" s="364"/>
      <c r="H66" s="268"/>
      <c r="I66" s="269"/>
      <c r="J66" s="364"/>
      <c r="K66" s="364"/>
      <c r="L66" s="364"/>
      <c r="M66" s="268"/>
      <c r="N66" s="269"/>
      <c r="O66" s="356"/>
      <c r="P66" s="269"/>
      <c r="Q66" s="269"/>
      <c r="R66" s="269"/>
      <c r="S66" s="269"/>
      <c r="T66" s="269"/>
      <c r="U66" s="269"/>
      <c r="V66" s="269"/>
      <c r="W66" s="269"/>
      <c r="X66" s="269"/>
      <c r="Y66" s="269"/>
      <c r="Z66" s="269"/>
      <c r="AA66" s="269"/>
      <c r="AB66" s="269"/>
      <c r="AC66" s="269"/>
      <c r="AD66" s="269"/>
      <c r="AE66" s="269"/>
      <c r="AF66" s="306"/>
      <c r="AG66" s="306"/>
      <c r="AJ66" s="303"/>
      <c r="AK66" s="359"/>
      <c r="AL66" s="303"/>
      <c r="AM66" s="303"/>
    </row>
    <row r="67" spans="2:39" ht="19.5" customHeight="1" x14ac:dyDescent="0.2">
      <c r="B67" s="267"/>
      <c r="C67" s="267"/>
      <c r="D67" s="267"/>
      <c r="E67" s="267"/>
      <c r="F67" s="269"/>
      <c r="G67" s="364"/>
      <c r="H67" s="268"/>
      <c r="I67" s="269"/>
      <c r="J67" s="269"/>
      <c r="K67" s="269"/>
      <c r="L67" s="269"/>
      <c r="M67" s="269"/>
      <c r="N67" s="269"/>
      <c r="O67" s="356"/>
      <c r="P67" s="269"/>
      <c r="Q67" s="269"/>
      <c r="R67" s="269"/>
      <c r="S67" s="365"/>
      <c r="T67" s="365"/>
      <c r="U67" s="365"/>
      <c r="V67" s="365"/>
      <c r="W67" s="365"/>
      <c r="X67" s="365"/>
      <c r="Y67" s="365"/>
      <c r="Z67" s="365"/>
      <c r="AA67" s="365"/>
      <c r="AB67" s="365"/>
      <c r="AC67" s="365"/>
      <c r="AD67" s="365"/>
      <c r="AE67" s="365"/>
      <c r="AF67" s="306"/>
      <c r="AG67" s="306"/>
      <c r="AJ67" s="303"/>
      <c r="AK67" s="359"/>
      <c r="AL67" s="303"/>
      <c r="AM67" s="303"/>
    </row>
    <row r="68" spans="2:39" ht="19.5" customHeight="1" x14ac:dyDescent="0.2">
      <c r="B68" s="366"/>
      <c r="C68" s="367"/>
      <c r="D68" s="367"/>
      <c r="E68" s="367"/>
      <c r="M68" s="276"/>
      <c r="S68" s="368"/>
      <c r="T68" s="368"/>
      <c r="U68" s="365"/>
      <c r="V68" s="368"/>
      <c r="W68" s="368"/>
      <c r="X68" s="368"/>
      <c r="Y68" s="368"/>
      <c r="Z68" s="368"/>
      <c r="AA68" s="368"/>
      <c r="AB68" s="368"/>
      <c r="AC68" s="368"/>
      <c r="AD68" s="368"/>
      <c r="AE68" s="368"/>
      <c r="AF68" s="306"/>
      <c r="AG68" s="306"/>
      <c r="AJ68" s="303"/>
      <c r="AK68" s="359"/>
      <c r="AL68" s="303"/>
      <c r="AM68" s="303"/>
    </row>
    <row r="69" spans="2:39" ht="19.5" customHeight="1" x14ac:dyDescent="0.2">
      <c r="B69" s="276"/>
      <c r="C69" s="369"/>
      <c r="D69" s="269"/>
      <c r="E69" s="276"/>
      <c r="F69" s="269"/>
      <c r="G69" s="364"/>
      <c r="H69" s="364"/>
      <c r="I69" s="370"/>
      <c r="J69" s="371"/>
      <c r="K69" s="372"/>
      <c r="L69" s="370"/>
      <c r="M69" s="371"/>
      <c r="N69" s="370"/>
      <c r="O69" s="356"/>
      <c r="P69" s="276"/>
      <c r="Q69" s="369"/>
      <c r="R69" s="269"/>
      <c r="S69" s="276"/>
      <c r="T69" s="276"/>
      <c r="U69" s="361"/>
      <c r="V69" s="361"/>
      <c r="W69" s="361"/>
      <c r="X69" s="361"/>
      <c r="Y69" s="361"/>
      <c r="Z69" s="361"/>
      <c r="AA69" s="361"/>
      <c r="AB69" s="361"/>
      <c r="AC69" s="361"/>
      <c r="AD69" s="361"/>
      <c r="AE69" s="361"/>
      <c r="AF69" s="306"/>
      <c r="AG69" s="306"/>
      <c r="AJ69" s="303"/>
      <c r="AK69" s="359"/>
      <c r="AL69" s="303"/>
      <c r="AM69" s="303"/>
    </row>
    <row r="70" spans="2:39" ht="19.5" customHeight="1" x14ac:dyDescent="0.2">
      <c r="B70" s="276"/>
      <c r="C70" s="369"/>
      <c r="D70" s="269"/>
      <c r="E70" s="276"/>
      <c r="F70" s="373"/>
      <c r="G70" s="373"/>
      <c r="H70" s="374"/>
      <c r="I70" s="373"/>
      <c r="J70" s="373"/>
      <c r="K70" s="374"/>
      <c r="L70" s="373"/>
      <c r="M70" s="373"/>
      <c r="N70" s="364"/>
      <c r="O70" s="356"/>
      <c r="P70" s="276"/>
      <c r="Q70" s="369"/>
      <c r="R70" s="269"/>
      <c r="S70" s="276"/>
      <c r="T70" s="269"/>
      <c r="U70" s="269"/>
      <c r="V70" s="269"/>
      <c r="W70" s="364"/>
      <c r="X70" s="363"/>
      <c r="Y70" s="363"/>
      <c r="Z70" s="363"/>
      <c r="AA70" s="363"/>
      <c r="AB70" s="363"/>
      <c r="AC70" s="373"/>
      <c r="AD70" s="373"/>
      <c r="AE70" s="248"/>
      <c r="AF70" s="306"/>
      <c r="AG70" s="306"/>
      <c r="AJ70" s="303"/>
      <c r="AK70" s="359"/>
      <c r="AL70" s="303"/>
      <c r="AM70" s="303"/>
    </row>
    <row r="71" spans="2:39" ht="19.5" customHeight="1" x14ac:dyDescent="0.2">
      <c r="B71" s="276"/>
      <c r="C71" s="369"/>
      <c r="D71" s="269"/>
      <c r="E71" s="276"/>
      <c r="F71" s="269"/>
      <c r="G71" s="364"/>
      <c r="H71" s="364"/>
      <c r="I71" s="364"/>
      <c r="J71" s="364"/>
      <c r="K71" s="364"/>
      <c r="L71" s="375"/>
      <c r="M71" s="375"/>
      <c r="N71" s="364"/>
      <c r="O71" s="364"/>
      <c r="AF71" s="306"/>
      <c r="AG71" s="306"/>
      <c r="AJ71" s="303"/>
      <c r="AK71" s="359"/>
      <c r="AL71" s="303"/>
      <c r="AM71" s="303"/>
    </row>
    <row r="72" spans="2:39" ht="19.5" customHeight="1" x14ac:dyDescent="0.2">
      <c r="B72" s="276"/>
      <c r="C72" s="269"/>
      <c r="H72" s="268"/>
      <c r="I72" s="376"/>
      <c r="M72" s="377"/>
      <c r="O72" s="364"/>
      <c r="AF72" s="306"/>
      <c r="AG72" s="306"/>
      <c r="AJ72" s="303"/>
      <c r="AK72" s="359"/>
      <c r="AL72" s="303"/>
      <c r="AM72" s="303"/>
    </row>
    <row r="73" spans="2:39" ht="19.5" customHeight="1" x14ac:dyDescent="0.2">
      <c r="H73" s="268"/>
      <c r="M73" s="268"/>
      <c r="O73" s="364"/>
      <c r="AF73" s="306"/>
      <c r="AG73" s="306"/>
      <c r="AJ73" s="303"/>
      <c r="AK73" s="359"/>
      <c r="AL73" s="303"/>
      <c r="AM73" s="303"/>
    </row>
    <row r="74" spans="2:39" ht="19.5" customHeight="1" x14ac:dyDescent="0.2">
      <c r="B74" s="276"/>
      <c r="C74" s="369"/>
      <c r="D74" s="269"/>
      <c r="E74" s="276"/>
      <c r="F74" s="276"/>
      <c r="G74" s="361"/>
      <c r="H74" s="361"/>
      <c r="I74" s="361"/>
      <c r="J74" s="361"/>
      <c r="K74" s="361"/>
      <c r="L74" s="361"/>
      <c r="M74" s="361"/>
      <c r="N74" s="361"/>
      <c r="O74" s="364"/>
      <c r="AF74" s="306"/>
      <c r="AG74" s="306"/>
      <c r="AJ74" s="303"/>
      <c r="AK74" s="359"/>
      <c r="AL74" s="303"/>
      <c r="AM74" s="303"/>
    </row>
    <row r="75" spans="2:39" ht="19.5" customHeight="1" x14ac:dyDescent="0.2">
      <c r="B75" s="276"/>
      <c r="C75" s="369"/>
      <c r="D75" s="269"/>
      <c r="E75" s="276"/>
      <c r="F75" s="276"/>
      <c r="G75" s="361"/>
      <c r="H75" s="361"/>
      <c r="I75" s="361"/>
      <c r="J75" s="361"/>
      <c r="K75" s="361"/>
      <c r="L75" s="361"/>
      <c r="M75" s="361"/>
      <c r="N75" s="361"/>
      <c r="O75" s="364"/>
      <c r="AF75" s="306"/>
      <c r="AG75" s="306"/>
      <c r="AJ75" s="303"/>
      <c r="AK75" s="359"/>
      <c r="AL75" s="303"/>
      <c r="AM75" s="303"/>
    </row>
    <row r="76" spans="2:39" ht="19.5" customHeight="1" x14ac:dyDescent="0.2">
      <c r="B76" s="276"/>
      <c r="C76" s="369"/>
      <c r="D76" s="269"/>
      <c r="E76" s="276"/>
      <c r="F76" s="276"/>
      <c r="G76" s="361"/>
      <c r="H76" s="361"/>
      <c r="I76" s="361"/>
      <c r="J76" s="361"/>
      <c r="K76" s="361"/>
      <c r="L76" s="361"/>
      <c r="M76" s="361"/>
      <c r="N76" s="361"/>
      <c r="O76" s="364"/>
      <c r="AJ76" s="303"/>
      <c r="AK76" s="359"/>
      <c r="AL76" s="303"/>
      <c r="AM76" s="303"/>
    </row>
    <row r="77" spans="2:39" ht="19.5" customHeight="1" x14ac:dyDescent="0.2">
      <c r="B77" s="269"/>
      <c r="F77" s="378"/>
      <c r="G77" s="379"/>
      <c r="H77" s="379"/>
      <c r="J77" s="380"/>
      <c r="L77" s="381"/>
      <c r="M77" s="381"/>
      <c r="N77" s="382"/>
      <c r="O77" s="364"/>
      <c r="AF77" s="306"/>
      <c r="AG77" s="306"/>
      <c r="AJ77" s="303"/>
      <c r="AK77" s="359"/>
      <c r="AL77" s="303"/>
      <c r="AM77" s="303"/>
    </row>
    <row r="78" spans="2:39" ht="19.5" customHeight="1" x14ac:dyDescent="0.2">
      <c r="B78" s="383"/>
      <c r="G78" s="384"/>
      <c r="H78" s="384"/>
      <c r="K78" s="268"/>
      <c r="L78" s="384"/>
      <c r="M78" s="384"/>
      <c r="O78" s="364"/>
      <c r="AF78" s="306"/>
      <c r="AG78" s="306"/>
      <c r="AJ78" s="303"/>
      <c r="AK78" s="359"/>
      <c r="AL78" s="303"/>
      <c r="AM78" s="303"/>
    </row>
    <row r="79" spans="2:39" ht="19.5" customHeight="1" x14ac:dyDescent="0.2">
      <c r="B79" s="383"/>
      <c r="G79" s="384"/>
      <c r="H79" s="384"/>
      <c r="K79" s="268"/>
      <c r="L79" s="384"/>
      <c r="M79" s="384"/>
      <c r="O79" s="364"/>
      <c r="AF79" s="306"/>
      <c r="AG79" s="306"/>
      <c r="AJ79" s="303"/>
      <c r="AK79" s="359"/>
      <c r="AL79" s="303"/>
      <c r="AM79" s="303"/>
    </row>
    <row r="80" spans="2:39" ht="19.5" customHeight="1" x14ac:dyDescent="0.2">
      <c r="B80" s="383"/>
      <c r="G80" s="384"/>
      <c r="H80" s="384"/>
      <c r="K80" s="268"/>
      <c r="L80" s="384"/>
      <c r="M80" s="384"/>
      <c r="O80" s="364"/>
      <c r="AF80" s="306"/>
      <c r="AG80" s="306"/>
      <c r="AJ80" s="303"/>
      <c r="AK80" s="359"/>
      <c r="AL80" s="303"/>
      <c r="AM80" s="303"/>
    </row>
    <row r="81" spans="1:39" ht="9.75" customHeight="1" x14ac:dyDescent="0.2">
      <c r="A81" s="269"/>
      <c r="B81" s="269"/>
      <c r="C81" s="269"/>
      <c r="D81" s="269"/>
      <c r="E81" s="276"/>
      <c r="F81" s="269"/>
      <c r="G81" s="364"/>
      <c r="H81" s="364"/>
      <c r="I81" s="364"/>
      <c r="J81" s="364"/>
      <c r="K81" s="364"/>
      <c r="L81" s="364"/>
      <c r="M81" s="364"/>
      <c r="N81" s="364"/>
      <c r="O81" s="364"/>
      <c r="AF81" s="306"/>
      <c r="AG81" s="306"/>
      <c r="AJ81" s="303"/>
      <c r="AK81" s="359"/>
      <c r="AL81" s="303"/>
      <c r="AM81" s="303"/>
    </row>
    <row r="82" spans="1:39" ht="19.5" customHeight="1" x14ac:dyDescent="0.2">
      <c r="A82" s="269"/>
      <c r="B82" s="366"/>
      <c r="C82" s="367"/>
      <c r="D82" s="367"/>
      <c r="E82" s="367"/>
      <c r="M82" s="276"/>
      <c r="AF82" s="306"/>
      <c r="AG82" s="306"/>
      <c r="AJ82" s="303"/>
      <c r="AK82" s="359"/>
      <c r="AL82" s="303"/>
      <c r="AM82" s="303"/>
    </row>
    <row r="83" spans="1:39" ht="19.5" customHeight="1" x14ac:dyDescent="0.2">
      <c r="A83" s="269"/>
      <c r="B83" s="385"/>
      <c r="C83" s="269"/>
      <c r="D83" s="269"/>
      <c r="E83" s="276"/>
      <c r="F83" s="269"/>
      <c r="G83" s="364"/>
      <c r="H83" s="364"/>
      <c r="I83" s="364"/>
      <c r="K83" s="268"/>
      <c r="L83" s="269"/>
      <c r="M83" s="268"/>
      <c r="N83" s="269"/>
      <c r="O83" s="364"/>
      <c r="AF83" s="306"/>
      <c r="AG83" s="306"/>
      <c r="AJ83" s="303"/>
      <c r="AK83" s="359"/>
      <c r="AL83" s="303"/>
      <c r="AM83" s="303"/>
    </row>
    <row r="84" spans="1:39" ht="19.5" customHeight="1" x14ac:dyDescent="0.2">
      <c r="A84" s="269"/>
      <c r="B84" s="276"/>
      <c r="C84" s="288"/>
      <c r="D84" s="288"/>
      <c r="E84" s="288"/>
      <c r="F84" s="288"/>
      <c r="G84" s="288"/>
      <c r="H84" s="288"/>
      <c r="I84" s="288"/>
      <c r="J84" s="288"/>
      <c r="K84" s="288"/>
      <c r="L84" s="288"/>
      <c r="M84" s="288"/>
      <c r="N84" s="288"/>
      <c r="O84" s="364"/>
      <c r="AF84" s="306"/>
      <c r="AG84" s="306"/>
      <c r="AJ84" s="303"/>
      <c r="AK84" s="359"/>
      <c r="AL84" s="303"/>
      <c r="AM84" s="303"/>
    </row>
    <row r="85" spans="1:39" ht="19.5" customHeight="1" x14ac:dyDescent="0.2">
      <c r="B85" s="386"/>
      <c r="C85" s="386"/>
      <c r="D85" s="386"/>
      <c r="E85" s="386"/>
      <c r="F85" s="386"/>
      <c r="G85" s="386"/>
      <c r="H85" s="386"/>
      <c r="I85" s="386"/>
      <c r="J85" s="386"/>
      <c r="K85" s="386"/>
      <c r="L85" s="386"/>
      <c r="M85" s="386"/>
      <c r="N85" s="386"/>
      <c r="O85" s="364"/>
      <c r="AF85" s="306"/>
      <c r="AG85" s="306"/>
      <c r="AJ85" s="303"/>
      <c r="AK85" s="359"/>
      <c r="AL85" s="303"/>
      <c r="AM85" s="303"/>
    </row>
    <row r="86" spans="1:39" ht="19.5" customHeight="1" x14ac:dyDescent="0.2">
      <c r="B86" s="269"/>
      <c r="C86" s="369"/>
      <c r="D86" s="269"/>
      <c r="E86" s="276"/>
      <c r="F86" s="269"/>
      <c r="G86" s="364"/>
      <c r="H86" s="364"/>
      <c r="I86" s="364"/>
      <c r="J86" s="364"/>
      <c r="K86" s="364"/>
      <c r="L86" s="387"/>
      <c r="M86" s="387"/>
      <c r="N86" s="364"/>
      <c r="O86" s="364"/>
      <c r="AJ86" s="303"/>
      <c r="AK86" s="359"/>
      <c r="AL86" s="303"/>
      <c r="AM86" s="303"/>
    </row>
    <row r="87" spans="1:39" ht="19.5" customHeight="1" x14ac:dyDescent="0.2">
      <c r="B87" s="269"/>
      <c r="C87" s="369"/>
      <c r="D87" s="269"/>
      <c r="E87" s="276"/>
      <c r="F87" s="269"/>
      <c r="G87" s="364"/>
      <c r="H87" s="364"/>
      <c r="I87" s="364"/>
      <c r="K87" s="268"/>
      <c r="L87" s="269"/>
      <c r="M87" s="268"/>
      <c r="N87" s="269"/>
      <c r="O87" s="364"/>
      <c r="AF87" s="306"/>
      <c r="AG87" s="306"/>
      <c r="AJ87" s="303"/>
      <c r="AK87" s="359"/>
      <c r="AL87" s="303"/>
      <c r="AM87" s="303"/>
    </row>
    <row r="88" spans="1:39" ht="9.75" customHeight="1" x14ac:dyDescent="0.2">
      <c r="B88" s="269"/>
      <c r="C88" s="369"/>
      <c r="D88" s="269"/>
      <c r="E88" s="276"/>
      <c r="F88" s="269"/>
      <c r="G88" s="364"/>
      <c r="H88" s="364"/>
      <c r="I88" s="364"/>
      <c r="J88" s="364"/>
      <c r="K88" s="364"/>
      <c r="L88" s="364"/>
      <c r="M88" s="364"/>
      <c r="N88" s="364"/>
      <c r="O88" s="364"/>
      <c r="AF88" s="306"/>
      <c r="AG88" s="306"/>
      <c r="AJ88" s="303"/>
      <c r="AK88" s="359"/>
      <c r="AL88" s="303"/>
      <c r="AM88" s="303"/>
    </row>
    <row r="89" spans="1:39" ht="19.5" customHeight="1" x14ac:dyDescent="0.2">
      <c r="B89" s="366"/>
      <c r="C89" s="367"/>
      <c r="D89" s="367"/>
      <c r="E89" s="367"/>
      <c r="M89" s="276"/>
      <c r="AF89" s="306"/>
      <c r="AG89" s="306"/>
      <c r="AJ89" s="303"/>
      <c r="AK89" s="359"/>
      <c r="AL89" s="303"/>
      <c r="AM89" s="303"/>
    </row>
    <row r="90" spans="1:39" ht="19.5" customHeight="1" x14ac:dyDescent="0.2">
      <c r="B90" s="369"/>
      <c r="C90" s="369"/>
      <c r="D90" s="269"/>
      <c r="E90" s="276"/>
      <c r="F90" s="269"/>
      <c r="G90" s="364"/>
      <c r="H90" s="364"/>
      <c r="I90" s="364"/>
      <c r="K90" s="268"/>
      <c r="L90" s="269"/>
      <c r="M90" s="268"/>
      <c r="N90" s="269"/>
      <c r="O90" s="364"/>
      <c r="AF90" s="306"/>
      <c r="AG90" s="306"/>
      <c r="AJ90" s="303"/>
      <c r="AK90" s="359"/>
      <c r="AL90" s="303"/>
      <c r="AM90" s="303"/>
    </row>
    <row r="91" spans="1:39" ht="19.5" customHeight="1" x14ac:dyDescent="0.2">
      <c r="B91" s="369"/>
      <c r="C91" s="369"/>
      <c r="D91" s="269"/>
      <c r="E91" s="276"/>
      <c r="F91" s="269"/>
      <c r="G91" s="364"/>
      <c r="H91" s="364"/>
      <c r="I91" s="276"/>
      <c r="J91" s="388"/>
      <c r="K91" s="388"/>
      <c r="L91" s="388"/>
      <c r="M91" s="388"/>
      <c r="N91" s="388"/>
      <c r="O91" s="364"/>
      <c r="AF91" s="306"/>
      <c r="AG91" s="306"/>
      <c r="AJ91" s="303"/>
      <c r="AK91" s="359"/>
      <c r="AL91" s="303"/>
      <c r="AM91" s="303"/>
    </row>
    <row r="92" spans="1:39" ht="19.5" customHeight="1" x14ac:dyDescent="0.2">
      <c r="B92" s="386"/>
      <c r="C92" s="386"/>
      <c r="D92" s="386"/>
      <c r="E92" s="386"/>
      <c r="F92" s="386"/>
      <c r="G92" s="386"/>
      <c r="H92" s="386"/>
      <c r="I92" s="386"/>
      <c r="J92" s="386"/>
      <c r="K92" s="386"/>
      <c r="L92" s="386"/>
      <c r="M92" s="386"/>
      <c r="N92" s="386"/>
      <c r="O92" s="364"/>
      <c r="AF92" s="306"/>
      <c r="AG92" s="306"/>
      <c r="AJ92" s="303"/>
      <c r="AK92" s="359"/>
      <c r="AL92" s="303"/>
      <c r="AM92" s="303"/>
    </row>
    <row r="93" spans="1:39" ht="19.5" customHeight="1" x14ac:dyDescent="0.2">
      <c r="B93" s="386"/>
      <c r="C93" s="386"/>
      <c r="D93" s="386"/>
      <c r="E93" s="386"/>
      <c r="F93" s="386"/>
      <c r="G93" s="386"/>
      <c r="H93" s="386"/>
      <c r="I93" s="386"/>
      <c r="J93" s="386"/>
      <c r="K93" s="386"/>
      <c r="L93" s="386"/>
      <c r="M93" s="386"/>
      <c r="N93" s="386"/>
      <c r="O93" s="364"/>
      <c r="AF93" s="306"/>
      <c r="AG93" s="306"/>
      <c r="AJ93" s="303"/>
      <c r="AK93" s="304"/>
      <c r="AL93" s="303"/>
      <c r="AM93" s="303"/>
    </row>
    <row r="94" spans="1:39" ht="19.5" customHeight="1" x14ac:dyDescent="0.2">
      <c r="B94" s="369"/>
      <c r="C94" s="369"/>
      <c r="D94" s="269"/>
      <c r="E94" s="276"/>
      <c r="F94" s="269"/>
      <c r="G94" s="364"/>
      <c r="H94" s="364"/>
      <c r="I94" s="364"/>
      <c r="J94" s="364"/>
      <c r="K94" s="364"/>
      <c r="L94" s="389"/>
      <c r="M94" s="389"/>
      <c r="N94" s="364"/>
      <c r="O94" s="364"/>
      <c r="AF94" s="306"/>
      <c r="AG94" s="306"/>
      <c r="AJ94" s="303"/>
      <c r="AK94" s="304"/>
      <c r="AL94" s="303"/>
      <c r="AM94" s="303"/>
    </row>
    <row r="95" spans="1:39" ht="19.5" customHeight="1" x14ac:dyDescent="0.2">
      <c r="B95" s="369"/>
      <c r="C95" s="369"/>
      <c r="D95" s="269"/>
      <c r="E95" s="276"/>
      <c r="F95" s="269"/>
      <c r="G95" s="364"/>
      <c r="H95" s="364"/>
      <c r="I95" s="364"/>
      <c r="K95" s="268"/>
      <c r="L95" s="269"/>
      <c r="M95" s="268"/>
      <c r="N95" s="269"/>
      <c r="O95" s="364"/>
      <c r="AF95" s="306"/>
      <c r="AG95" s="306"/>
      <c r="AJ95" s="303"/>
      <c r="AK95" s="304"/>
      <c r="AL95" s="303"/>
      <c r="AM95" s="303"/>
    </row>
    <row r="96" spans="1:39" ht="19.5" customHeight="1" x14ac:dyDescent="0.2">
      <c r="B96" s="369"/>
      <c r="C96" s="369"/>
      <c r="D96" s="269"/>
      <c r="E96" s="276"/>
      <c r="F96" s="269"/>
      <c r="G96" s="364"/>
      <c r="H96" s="364"/>
      <c r="I96" s="276"/>
      <c r="J96" s="388"/>
      <c r="K96" s="388"/>
      <c r="L96" s="388"/>
      <c r="M96" s="388"/>
      <c r="N96" s="388"/>
      <c r="O96" s="364"/>
      <c r="AF96" s="306"/>
      <c r="AG96" s="306"/>
      <c r="AJ96" s="303"/>
      <c r="AK96" s="304"/>
      <c r="AL96" s="303"/>
      <c r="AM96" s="303"/>
    </row>
    <row r="97" spans="1:39" ht="19.5" customHeight="1" x14ac:dyDescent="0.2">
      <c r="B97" s="386"/>
      <c r="C97" s="386"/>
      <c r="D97" s="386"/>
      <c r="E97" s="386"/>
      <c r="F97" s="386"/>
      <c r="G97" s="386"/>
      <c r="H97" s="386"/>
      <c r="I97" s="386"/>
      <c r="J97" s="386"/>
      <c r="K97" s="386"/>
      <c r="L97" s="386"/>
      <c r="M97" s="386"/>
      <c r="N97" s="386"/>
      <c r="O97" s="364"/>
      <c r="AF97" s="306"/>
      <c r="AG97" s="306"/>
      <c r="AJ97" s="303"/>
      <c r="AK97" s="304"/>
      <c r="AL97" s="303"/>
      <c r="AM97" s="303"/>
    </row>
    <row r="98" spans="1:39" ht="19.5" customHeight="1" x14ac:dyDescent="0.2">
      <c r="B98" s="386"/>
      <c r="C98" s="386"/>
      <c r="D98" s="386"/>
      <c r="E98" s="386"/>
      <c r="F98" s="386"/>
      <c r="G98" s="386"/>
      <c r="H98" s="386"/>
      <c r="I98" s="386"/>
      <c r="J98" s="386"/>
      <c r="K98" s="386"/>
      <c r="L98" s="386"/>
      <c r="M98" s="386"/>
      <c r="N98" s="386"/>
      <c r="O98" s="364"/>
      <c r="AF98" s="306"/>
      <c r="AG98" s="306"/>
      <c r="AJ98" s="303"/>
      <c r="AK98" s="304"/>
      <c r="AL98" s="303"/>
      <c r="AM98" s="303"/>
    </row>
    <row r="99" spans="1:39" ht="9.75" customHeight="1" x14ac:dyDescent="0.2">
      <c r="B99" s="369"/>
      <c r="C99" s="369"/>
      <c r="D99" s="269"/>
      <c r="E99" s="276"/>
      <c r="F99" s="269"/>
      <c r="G99" s="364"/>
      <c r="H99" s="364"/>
      <c r="I99" s="364"/>
      <c r="J99" s="364"/>
      <c r="K99" s="364"/>
      <c r="L99" s="364"/>
      <c r="M99" s="364"/>
      <c r="N99" s="364"/>
      <c r="O99" s="364"/>
      <c r="AF99" s="306"/>
      <c r="AG99" s="306"/>
      <c r="AJ99" s="303"/>
      <c r="AK99" s="304"/>
      <c r="AL99" s="303"/>
      <c r="AM99" s="303"/>
    </row>
    <row r="100" spans="1:39" ht="19.5" customHeight="1" x14ac:dyDescent="0.2">
      <c r="B100" s="366"/>
      <c r="C100" s="367"/>
      <c r="D100" s="367"/>
      <c r="E100" s="367"/>
      <c r="M100" s="276"/>
      <c r="AF100" s="306"/>
      <c r="AG100" s="306"/>
      <c r="AJ100" s="303"/>
      <c r="AK100" s="304"/>
      <c r="AL100" s="303"/>
      <c r="AM100" s="303"/>
    </row>
    <row r="101" spans="1:39" ht="19.5" customHeight="1" x14ac:dyDescent="0.2">
      <c r="B101" s="369"/>
      <c r="C101" s="369"/>
      <c r="D101" s="269"/>
      <c r="E101" s="276"/>
      <c r="F101" s="269"/>
      <c r="G101" s="364"/>
      <c r="H101" s="364"/>
      <c r="I101" s="364"/>
      <c r="K101" s="268"/>
      <c r="L101" s="269"/>
      <c r="M101" s="268"/>
      <c r="N101" s="269"/>
      <c r="O101" s="364"/>
      <c r="P101" s="369"/>
      <c r="Q101" s="364"/>
      <c r="R101" s="364"/>
      <c r="S101" s="364"/>
      <c r="T101" s="364"/>
      <c r="U101" s="364"/>
      <c r="V101" s="364"/>
      <c r="W101" s="364"/>
      <c r="X101" s="364"/>
      <c r="Y101" s="364"/>
      <c r="Z101" s="364"/>
      <c r="AA101" s="364"/>
      <c r="AB101" s="364"/>
      <c r="AC101" s="364"/>
      <c r="AD101" s="364"/>
      <c r="AE101" s="248"/>
      <c r="AF101" s="306"/>
      <c r="AG101" s="306"/>
      <c r="AJ101" s="303"/>
      <c r="AK101" s="304"/>
      <c r="AL101" s="303"/>
      <c r="AM101" s="303"/>
    </row>
    <row r="102" spans="1:39" ht="19.5" customHeight="1" x14ac:dyDescent="0.2">
      <c r="B102" s="369"/>
      <c r="C102" s="369"/>
      <c r="D102" s="269"/>
      <c r="E102" s="276"/>
      <c r="F102" s="276"/>
      <c r="G102" s="361"/>
      <c r="H102" s="361"/>
      <c r="I102" s="361"/>
      <c r="J102" s="361"/>
      <c r="K102" s="361"/>
      <c r="L102" s="361"/>
      <c r="M102" s="361"/>
      <c r="N102" s="361"/>
      <c r="O102" s="364"/>
      <c r="P102" s="369"/>
      <c r="Q102" s="369"/>
      <c r="R102" s="369"/>
      <c r="S102" s="377"/>
      <c r="T102" s="364"/>
      <c r="U102" s="369"/>
      <c r="V102" s="369"/>
      <c r="W102" s="377"/>
      <c r="X102" s="364"/>
      <c r="Y102" s="364"/>
      <c r="Z102" s="364"/>
      <c r="AA102" s="364"/>
      <c r="AB102" s="369"/>
      <c r="AC102" s="369"/>
      <c r="AD102" s="377"/>
      <c r="AE102" s="248"/>
      <c r="AF102" s="306"/>
      <c r="AG102" s="306"/>
      <c r="AJ102" s="303"/>
      <c r="AK102" s="304"/>
      <c r="AL102" s="303"/>
      <c r="AM102" s="303"/>
    </row>
    <row r="103" spans="1:39" ht="19.5" customHeight="1" x14ac:dyDescent="0.2">
      <c r="B103" s="386"/>
      <c r="C103" s="386"/>
      <c r="D103" s="386"/>
      <c r="E103" s="386"/>
      <c r="F103" s="386"/>
      <c r="G103" s="386"/>
      <c r="H103" s="386"/>
      <c r="I103" s="386"/>
      <c r="J103" s="386"/>
      <c r="K103" s="386"/>
      <c r="L103" s="386"/>
      <c r="M103" s="386"/>
      <c r="N103" s="386"/>
      <c r="O103" s="364"/>
      <c r="P103" s="369"/>
      <c r="Q103" s="364"/>
      <c r="R103" s="364"/>
      <c r="S103" s="364"/>
      <c r="T103" s="364"/>
      <c r="U103" s="364"/>
      <c r="V103" s="364"/>
      <c r="W103" s="364"/>
      <c r="AB103" s="268"/>
      <c r="AC103" s="269"/>
      <c r="AD103" s="268"/>
      <c r="AE103" s="269"/>
      <c r="AF103" s="306"/>
      <c r="AG103" s="306"/>
      <c r="AJ103" s="303"/>
      <c r="AK103" s="304"/>
      <c r="AL103" s="303"/>
      <c r="AM103" s="303"/>
    </row>
    <row r="104" spans="1:39" ht="19.5" customHeight="1" x14ac:dyDescent="0.2">
      <c r="B104" s="386"/>
      <c r="C104" s="386"/>
      <c r="D104" s="386"/>
      <c r="E104" s="386"/>
      <c r="F104" s="386"/>
      <c r="G104" s="386"/>
      <c r="H104" s="386"/>
      <c r="I104" s="386"/>
      <c r="J104" s="386"/>
      <c r="K104" s="386"/>
      <c r="L104" s="386"/>
      <c r="M104" s="386"/>
      <c r="N104" s="386"/>
      <c r="O104" s="364"/>
      <c r="P104" s="269"/>
      <c r="Q104" s="269"/>
      <c r="R104" s="269"/>
      <c r="S104" s="269"/>
      <c r="T104" s="361"/>
      <c r="U104" s="361"/>
      <c r="V104" s="361"/>
      <c r="W104" s="361"/>
      <c r="X104" s="361"/>
      <c r="Y104" s="361"/>
      <c r="Z104" s="361"/>
      <c r="AA104" s="361"/>
      <c r="AB104" s="361"/>
      <c r="AC104" s="361"/>
      <c r="AD104" s="361"/>
      <c r="AE104" s="361"/>
      <c r="AF104" s="306"/>
      <c r="AG104" s="306"/>
      <c r="AJ104" s="303"/>
      <c r="AK104" s="304"/>
      <c r="AL104" s="303"/>
      <c r="AM104" s="303"/>
    </row>
    <row r="105" spans="1:39" ht="19.5" customHeight="1" x14ac:dyDescent="0.2">
      <c r="B105" s="369"/>
      <c r="C105" s="369"/>
      <c r="D105" s="269"/>
      <c r="E105" s="276"/>
      <c r="F105" s="269"/>
      <c r="G105" s="364"/>
      <c r="H105" s="364"/>
      <c r="I105" s="364"/>
      <c r="J105" s="364"/>
      <c r="K105" s="364"/>
      <c r="L105" s="364"/>
      <c r="M105" s="364"/>
      <c r="N105" s="364"/>
      <c r="O105" s="364"/>
      <c r="P105" s="386"/>
      <c r="Q105" s="386"/>
      <c r="R105" s="386"/>
      <c r="S105" s="386"/>
      <c r="T105" s="386"/>
      <c r="U105" s="386"/>
      <c r="V105" s="386"/>
      <c r="W105" s="386"/>
      <c r="X105" s="386"/>
      <c r="Y105" s="386"/>
      <c r="Z105" s="386"/>
      <c r="AA105" s="386"/>
      <c r="AB105" s="386"/>
      <c r="AC105" s="386"/>
      <c r="AD105" s="386"/>
      <c r="AE105" s="386"/>
      <c r="AF105" s="306"/>
      <c r="AG105" s="306"/>
      <c r="AJ105" s="303"/>
      <c r="AK105" s="304"/>
      <c r="AL105" s="303"/>
      <c r="AM105" s="303"/>
    </row>
    <row r="106" spans="1:39" ht="19.5" customHeight="1" x14ac:dyDescent="0.2">
      <c r="B106" s="276"/>
      <c r="C106" s="386"/>
      <c r="D106" s="386"/>
      <c r="E106" s="386"/>
      <c r="F106" s="386"/>
      <c r="G106" s="386"/>
      <c r="H106" s="386"/>
      <c r="I106" s="386"/>
      <c r="J106" s="386"/>
      <c r="K106" s="386"/>
      <c r="L106" s="386"/>
      <c r="M106" s="386"/>
      <c r="N106" s="386"/>
      <c r="O106" s="364"/>
      <c r="P106" s="269"/>
      <c r="Q106" s="273"/>
      <c r="R106" s="273"/>
      <c r="S106" s="273"/>
      <c r="T106" s="273"/>
      <c r="U106" s="273"/>
      <c r="V106" s="273"/>
      <c r="W106" s="273"/>
      <c r="AB106" s="268"/>
      <c r="AC106" s="269"/>
      <c r="AD106" s="268"/>
      <c r="AE106" s="269"/>
      <c r="AF106" s="306"/>
      <c r="AG106" s="306"/>
      <c r="AJ106" s="303"/>
      <c r="AK106" s="304"/>
      <c r="AL106" s="303"/>
      <c r="AM106" s="303"/>
    </row>
    <row r="107" spans="1:39" ht="19.5" customHeight="1" x14ac:dyDescent="0.2">
      <c r="B107" s="386"/>
      <c r="C107" s="386"/>
      <c r="D107" s="386"/>
      <c r="E107" s="386"/>
      <c r="F107" s="386"/>
      <c r="G107" s="386"/>
      <c r="H107" s="386"/>
      <c r="I107" s="386"/>
      <c r="J107" s="386"/>
      <c r="K107" s="386"/>
      <c r="L107" s="386"/>
      <c r="M107" s="386"/>
      <c r="N107" s="386"/>
      <c r="O107" s="356"/>
      <c r="P107" s="269"/>
      <c r="Q107" s="269"/>
      <c r="R107" s="269"/>
      <c r="S107" s="269"/>
      <c r="T107" s="269"/>
      <c r="U107" s="269"/>
      <c r="V107" s="269"/>
      <c r="W107" s="269"/>
      <c r="AB107" s="268"/>
      <c r="AC107" s="269"/>
      <c r="AD107" s="268"/>
      <c r="AE107" s="269"/>
      <c r="AF107" s="306"/>
      <c r="AG107" s="306"/>
      <c r="AJ107" s="303"/>
      <c r="AK107" s="304"/>
      <c r="AL107" s="303"/>
      <c r="AM107" s="303"/>
    </row>
    <row r="108" spans="1:39" ht="19.5" customHeight="1" x14ac:dyDescent="0.2">
      <c r="B108" s="386"/>
      <c r="C108" s="386"/>
      <c r="D108" s="386"/>
      <c r="E108" s="386"/>
      <c r="F108" s="386"/>
      <c r="G108" s="386"/>
      <c r="H108" s="386"/>
      <c r="I108" s="386"/>
      <c r="J108" s="386"/>
      <c r="K108" s="386"/>
      <c r="L108" s="386"/>
      <c r="M108" s="386"/>
      <c r="N108" s="386"/>
      <c r="O108" s="356"/>
      <c r="P108" s="269"/>
      <c r="Q108" s="269"/>
      <c r="R108" s="269"/>
      <c r="S108" s="269"/>
      <c r="T108" s="269"/>
      <c r="U108" s="269"/>
      <c r="V108" s="269"/>
      <c r="W108" s="269"/>
      <c r="X108" s="269"/>
      <c r="Y108" s="269"/>
      <c r="Z108" s="269"/>
      <c r="AA108" s="269"/>
      <c r="AB108" s="269"/>
      <c r="AC108" s="269"/>
      <c r="AD108" s="269"/>
      <c r="AE108" s="269"/>
      <c r="AF108" s="306"/>
      <c r="AG108" s="306"/>
      <c r="AJ108" s="303"/>
      <c r="AK108" s="304"/>
      <c r="AL108" s="303"/>
      <c r="AM108" s="303"/>
    </row>
    <row r="109" spans="1:39" ht="19.5" customHeight="1" x14ac:dyDescent="0.2">
      <c r="B109" s="386"/>
      <c r="C109" s="386"/>
      <c r="D109" s="386"/>
      <c r="E109" s="386"/>
      <c r="F109" s="386"/>
      <c r="G109" s="386"/>
      <c r="H109" s="386"/>
      <c r="I109" s="386"/>
      <c r="J109" s="386"/>
      <c r="K109" s="386"/>
      <c r="L109" s="386"/>
      <c r="M109" s="386"/>
      <c r="N109" s="386"/>
      <c r="O109" s="356"/>
      <c r="P109" s="276"/>
      <c r="Q109" s="386"/>
      <c r="R109" s="386"/>
      <c r="S109" s="386"/>
      <c r="T109" s="386"/>
      <c r="U109" s="386"/>
      <c r="V109" s="386"/>
      <c r="W109" s="386"/>
      <c r="X109" s="386"/>
      <c r="Y109" s="386"/>
      <c r="Z109" s="386"/>
      <c r="AA109" s="386"/>
      <c r="AB109" s="386"/>
      <c r="AC109" s="386"/>
      <c r="AD109" s="386"/>
      <c r="AE109" s="386"/>
      <c r="AF109" s="306"/>
      <c r="AG109" s="306"/>
      <c r="AJ109" s="303"/>
      <c r="AK109" s="304"/>
      <c r="AL109" s="303"/>
      <c r="AM109" s="303"/>
    </row>
    <row r="110" spans="1:39" ht="19.5" customHeight="1" x14ac:dyDescent="0.2">
      <c r="B110" s="386"/>
      <c r="C110" s="386"/>
      <c r="D110" s="386"/>
      <c r="E110" s="386"/>
      <c r="F110" s="386"/>
      <c r="G110" s="386"/>
      <c r="H110" s="386"/>
      <c r="I110" s="386"/>
      <c r="J110" s="386"/>
      <c r="K110" s="386"/>
      <c r="L110" s="386"/>
      <c r="M110" s="386"/>
      <c r="N110" s="386"/>
      <c r="P110" s="386"/>
      <c r="Q110" s="386"/>
      <c r="R110" s="386"/>
      <c r="S110" s="386"/>
      <c r="T110" s="386"/>
      <c r="U110" s="386"/>
      <c r="V110" s="386"/>
      <c r="W110" s="386"/>
      <c r="X110" s="386"/>
      <c r="Y110" s="386"/>
      <c r="Z110" s="386"/>
      <c r="AA110" s="386"/>
      <c r="AB110" s="386"/>
      <c r="AC110" s="386"/>
      <c r="AD110" s="386"/>
      <c r="AE110" s="386"/>
      <c r="AF110" s="306"/>
      <c r="AG110" s="306"/>
      <c r="AJ110" s="303"/>
      <c r="AK110" s="304"/>
      <c r="AL110" s="303"/>
      <c r="AM110" s="303"/>
    </row>
    <row r="111" spans="1:39" ht="19.5" customHeight="1" x14ac:dyDescent="0.2">
      <c r="B111" s="269"/>
      <c r="C111" s="269"/>
      <c r="D111" s="269"/>
      <c r="E111" s="269"/>
      <c r="F111" s="269"/>
      <c r="G111" s="269"/>
      <c r="H111" s="269"/>
      <c r="I111" s="269"/>
      <c r="J111" s="269"/>
      <c r="K111" s="269"/>
      <c r="L111" s="269"/>
      <c r="M111" s="269"/>
      <c r="N111" s="269"/>
      <c r="P111" s="390"/>
      <c r="Q111" s="390"/>
      <c r="R111" s="390"/>
      <c r="S111" s="390"/>
      <c r="T111" s="390"/>
      <c r="U111" s="390"/>
      <c r="V111" s="390"/>
      <c r="W111" s="390"/>
      <c r="X111" s="390"/>
      <c r="Y111" s="390"/>
      <c r="Z111" s="390"/>
      <c r="AA111" s="390"/>
      <c r="AB111" s="390"/>
      <c r="AC111" s="269"/>
      <c r="AD111" s="269"/>
      <c r="AE111" s="269"/>
    </row>
    <row r="112" spans="1:39" ht="23.25" customHeight="1" x14ac:dyDescent="0.2">
      <c r="A112" s="249"/>
      <c r="B112" s="249"/>
      <c r="C112" s="249"/>
      <c r="D112" s="249"/>
      <c r="E112" s="249"/>
      <c r="F112" s="249"/>
      <c r="G112" s="249"/>
      <c r="H112" s="249"/>
      <c r="I112" s="249"/>
      <c r="J112" s="249"/>
      <c r="K112" s="249"/>
      <c r="L112" s="249"/>
      <c r="M112" s="249"/>
      <c r="N112" s="249"/>
      <c r="P112" s="390"/>
      <c r="Q112" s="390"/>
      <c r="R112" s="390"/>
      <c r="S112" s="390"/>
      <c r="T112" s="390"/>
      <c r="U112" s="390"/>
      <c r="V112" s="390"/>
      <c r="W112" s="390"/>
      <c r="X112" s="390"/>
      <c r="Y112" s="390"/>
      <c r="Z112" s="390"/>
      <c r="AA112" s="390"/>
      <c r="AB112" s="391"/>
      <c r="AC112" s="269"/>
      <c r="AD112" s="269"/>
      <c r="AE112" s="269"/>
    </row>
    <row r="113" spans="1:31" ht="19.5" customHeight="1" x14ac:dyDescent="0.2">
      <c r="B113" s="269"/>
      <c r="C113" s="269"/>
      <c r="D113" s="269"/>
      <c r="E113" s="269"/>
      <c r="F113" s="269"/>
      <c r="G113" s="269"/>
      <c r="H113" s="269"/>
      <c r="I113" s="269"/>
      <c r="J113" s="269"/>
      <c r="K113" s="269"/>
      <c r="L113" s="269"/>
      <c r="M113" s="269"/>
      <c r="N113" s="269"/>
      <c r="P113" s="390"/>
      <c r="Q113" s="390"/>
      <c r="R113" s="390"/>
      <c r="S113" s="390"/>
      <c r="T113" s="390"/>
      <c r="U113" s="390"/>
      <c r="V113" s="390"/>
      <c r="W113" s="390"/>
      <c r="X113" s="390"/>
      <c r="Y113" s="390"/>
      <c r="Z113" s="390"/>
      <c r="AA113" s="390"/>
      <c r="AB113" s="390"/>
      <c r="AC113" s="269"/>
      <c r="AD113" s="269"/>
      <c r="AE113" s="269"/>
    </row>
    <row r="114" spans="1:31" ht="39" customHeight="1" x14ac:dyDescent="0.2">
      <c r="B114" s="288"/>
      <c r="C114" s="288"/>
      <c r="D114" s="288"/>
      <c r="E114" s="288"/>
      <c r="F114" s="288"/>
      <c r="G114" s="288"/>
      <c r="I114" s="288"/>
      <c r="J114" s="288"/>
      <c r="K114" s="288"/>
      <c r="L114" s="288"/>
      <c r="M114" s="288"/>
      <c r="N114" s="288"/>
      <c r="P114" s="392"/>
      <c r="Q114" s="392"/>
      <c r="R114" s="392"/>
      <c r="S114" s="392"/>
      <c r="T114" s="392"/>
      <c r="U114" s="392"/>
      <c r="W114" s="288"/>
      <c r="X114" s="288"/>
      <c r="Y114" s="288"/>
      <c r="Z114" s="288"/>
      <c r="AA114" s="288"/>
      <c r="AB114" s="288"/>
      <c r="AC114" s="288"/>
      <c r="AD114" s="288"/>
      <c r="AE114" s="288"/>
    </row>
    <row r="115" spans="1:31" ht="19.5" customHeight="1" x14ac:dyDescent="0.2">
      <c r="A115" s="249"/>
    </row>
    <row r="116" spans="1:31" ht="19.5" customHeight="1" x14ac:dyDescent="0.2"/>
    <row r="117" spans="1:31" ht="19.5" customHeight="1" x14ac:dyDescent="0.2"/>
    <row r="118" spans="1:31" ht="19.5" customHeight="1" x14ac:dyDescent="0.2"/>
    <row r="119" spans="1:31" ht="19.5" customHeight="1" x14ac:dyDescent="0.2"/>
    <row r="120" spans="1:31" ht="19.5" customHeight="1" x14ac:dyDescent="0.2"/>
    <row r="121" spans="1:31" ht="19.5" customHeight="1" x14ac:dyDescent="0.2"/>
    <row r="122" spans="1:31" ht="19.5" customHeight="1" x14ac:dyDescent="0.2"/>
    <row r="123" spans="1:31" ht="19.5" customHeight="1" x14ac:dyDescent="0.2"/>
  </sheetData>
  <mergeCells count="126">
    <mergeCell ref="AT7:AT12"/>
    <mergeCell ref="W46:X46"/>
    <mergeCell ref="AB46:AC46"/>
    <mergeCell ref="J44:K44"/>
    <mergeCell ref="M44:N44"/>
    <mergeCell ref="J45:K45"/>
    <mergeCell ref="M45:N45"/>
    <mergeCell ref="P45:T46"/>
    <mergeCell ref="J46:K46"/>
    <mergeCell ref="M46:N46"/>
    <mergeCell ref="W40:X40"/>
    <mergeCell ref="AB40:AC40"/>
    <mergeCell ref="J41:K41"/>
    <mergeCell ref="M41:N41"/>
    <mergeCell ref="J42:K42"/>
    <mergeCell ref="M42:N42"/>
    <mergeCell ref="P42:T43"/>
    <mergeCell ref="W43:X43"/>
    <mergeCell ref="AB43:AC43"/>
    <mergeCell ref="J38:K38"/>
    <mergeCell ref="M38:N38"/>
    <mergeCell ref="J39:K39"/>
    <mergeCell ref="M39:N39"/>
    <mergeCell ref="P39:T40"/>
    <mergeCell ref="J40:K40"/>
    <mergeCell ref="M40:N40"/>
    <mergeCell ref="J36:K36"/>
    <mergeCell ref="M36:N36"/>
    <mergeCell ref="J37:K37"/>
    <mergeCell ref="M37:N37"/>
    <mergeCell ref="W37:X37"/>
    <mergeCell ref="AB37:AC37"/>
    <mergeCell ref="AB33:AC33"/>
    <mergeCell ref="J34:K34"/>
    <mergeCell ref="M34:N34"/>
    <mergeCell ref="P34:T35"/>
    <mergeCell ref="J35:K35"/>
    <mergeCell ref="M35:N35"/>
    <mergeCell ref="W35:X35"/>
    <mergeCell ref="AB35:AC35"/>
    <mergeCell ref="J32:K32"/>
    <mergeCell ref="M32:N32"/>
    <mergeCell ref="P32:T33"/>
    <mergeCell ref="J33:K33"/>
    <mergeCell ref="M33:N33"/>
    <mergeCell ref="W33:X33"/>
    <mergeCell ref="P28:T29"/>
    <mergeCell ref="W29:X29"/>
    <mergeCell ref="AB29:AC29"/>
    <mergeCell ref="J30:K30"/>
    <mergeCell ref="M30:N30"/>
    <mergeCell ref="P30:T31"/>
    <mergeCell ref="J31:K31"/>
    <mergeCell ref="M31:N31"/>
    <mergeCell ref="W31:X31"/>
    <mergeCell ref="AB31:AC31"/>
    <mergeCell ref="AB25:AC25"/>
    <mergeCell ref="J26:K26"/>
    <mergeCell ref="M26:N26"/>
    <mergeCell ref="P26:T27"/>
    <mergeCell ref="J27:K27"/>
    <mergeCell ref="M27:N27"/>
    <mergeCell ref="W27:X27"/>
    <mergeCell ref="AB27:AC27"/>
    <mergeCell ref="W22:X22"/>
    <mergeCell ref="AB22:AC22"/>
    <mergeCell ref="J23:K23"/>
    <mergeCell ref="M23:N23"/>
    <mergeCell ref="J24:K24"/>
    <mergeCell ref="M24:N24"/>
    <mergeCell ref="P24:T25"/>
    <mergeCell ref="J25:K25"/>
    <mergeCell ref="M25:N25"/>
    <mergeCell ref="W25:X25"/>
    <mergeCell ref="J20:K20"/>
    <mergeCell ref="M20:N20"/>
    <mergeCell ref="W20:X20"/>
    <mergeCell ref="AB20:AC20"/>
    <mergeCell ref="J17:K17"/>
    <mergeCell ref="M17:N17"/>
    <mergeCell ref="J18:K18"/>
    <mergeCell ref="M18:N18"/>
    <mergeCell ref="W18:X18"/>
    <mergeCell ref="AB18:AC18"/>
    <mergeCell ref="AB12:AC12"/>
    <mergeCell ref="J13:K13"/>
    <mergeCell ref="M13:N13"/>
    <mergeCell ref="P13:T14"/>
    <mergeCell ref="J14:K14"/>
    <mergeCell ref="M14:N14"/>
    <mergeCell ref="W14:X14"/>
    <mergeCell ref="J19:K19"/>
    <mergeCell ref="M19:N19"/>
    <mergeCell ref="H1:J1"/>
    <mergeCell ref="K1:AE1"/>
    <mergeCell ref="AA2:AB2"/>
    <mergeCell ref="AC2:AE2"/>
    <mergeCell ref="B5:N8"/>
    <mergeCell ref="W6:X6"/>
    <mergeCell ref="AB6:AC6"/>
    <mergeCell ref="W8:X8"/>
    <mergeCell ref="AB8:AC8"/>
    <mergeCell ref="C49:M55"/>
    <mergeCell ref="C57:M58"/>
    <mergeCell ref="W48:X48"/>
    <mergeCell ref="AB48:AC48"/>
    <mergeCell ref="W50:X50"/>
    <mergeCell ref="AB50:AC50"/>
    <mergeCell ref="P9:T10"/>
    <mergeCell ref="J10:K10"/>
    <mergeCell ref="M10:N10"/>
    <mergeCell ref="W10:X10"/>
    <mergeCell ref="AB10:AC10"/>
    <mergeCell ref="J11:K11"/>
    <mergeCell ref="M11:N11"/>
    <mergeCell ref="AB14:AC14"/>
    <mergeCell ref="J15:K15"/>
    <mergeCell ref="M15:N15"/>
    <mergeCell ref="P15:T16"/>
    <mergeCell ref="J16:K16"/>
    <mergeCell ref="M16:N16"/>
    <mergeCell ref="W16:X16"/>
    <mergeCell ref="AB16:AC16"/>
    <mergeCell ref="J12:K12"/>
    <mergeCell ref="M12:N12"/>
    <mergeCell ref="W12:X12"/>
  </mergeCells>
  <phoneticPr fontId="160" type="noConversion"/>
  <conditionalFormatting sqref="G32">
    <cfRule type="expression" dxfId="147" priority="56">
      <formula>OR($J$32&gt;0.6,$N$32&gt;0.6)</formula>
    </cfRule>
  </conditionalFormatting>
  <conditionalFormatting sqref="Z10">
    <cfRule type="expression" dxfId="146" priority="57" stopIfTrue="1">
      <formula>AND($W$10&gt;=1,$W$10&lt;=3)</formula>
    </cfRule>
    <cfRule type="expression" dxfId="145" priority="58" stopIfTrue="1">
      <formula>OR($W$10&lt;0.8,$W$10&gt;=3.3)</formula>
    </cfRule>
    <cfRule type="expression" dxfId="144" priority="59" stopIfTrue="1">
      <formula>OR(AND($W$10&gt;=0.8,$W$10&lt;1),AND($W$10&gt;3,$W$10&lt;3.3))</formula>
    </cfRule>
  </conditionalFormatting>
  <conditionalFormatting sqref="AE10">
    <cfRule type="expression" dxfId="143" priority="53" stopIfTrue="1">
      <formula>AND($AB$10&gt;=1,$AB$10&lt;=3)</formula>
    </cfRule>
    <cfRule type="expression" dxfId="142" priority="54" stopIfTrue="1">
      <formula>OR($AB$10&lt;0.8,$AB$10&gt;=3.3)</formula>
    </cfRule>
    <cfRule type="expression" dxfId="141" priority="55" stopIfTrue="1">
      <formula>OR(AND($AB$10&gt;=0.8,$AB$10&lt;1),AND($AB$10&gt;3,$AB$10&lt;3.3))</formula>
    </cfRule>
  </conditionalFormatting>
  <conditionalFormatting sqref="Z12">
    <cfRule type="expression" dxfId="140" priority="60" stopIfTrue="1">
      <formula>AND($W$12&gt;=25,$W$12&lt;=70)</formula>
    </cfRule>
    <cfRule type="expression" dxfId="139" priority="61" stopIfTrue="1">
      <formula>OR($W$12&lt;20,$W$12&gt;75)</formula>
    </cfRule>
    <cfRule type="expression" dxfId="138" priority="62" stopIfTrue="1">
      <formula>OR(AND($W$12&gt;=20,$W$12&lt;25),AND($W$12&gt;70,$W$12&lt;=75))</formula>
    </cfRule>
  </conditionalFormatting>
  <conditionalFormatting sqref="AE12">
    <cfRule type="expression" dxfId="137" priority="50" stopIfTrue="1">
      <formula>AND($AB$12&gt;=25,$AB$12&lt;=70)</formula>
    </cfRule>
    <cfRule type="expression" dxfId="136" priority="51" stopIfTrue="1">
      <formula>OR($AB$12&lt;20,$AB$12&gt;75)</formula>
    </cfRule>
    <cfRule type="expression" dxfId="135" priority="52" stopIfTrue="1">
      <formula>OR(AND($AB$12&gt;=20,$AB$12&lt;25),AND($AB$12&gt;70,$AB$12&lt;=75))</formula>
    </cfRule>
  </conditionalFormatting>
  <conditionalFormatting sqref="Z20">
    <cfRule type="expression" dxfId="134" priority="63" stopIfTrue="1">
      <formula>AND($W$20&gt;=3,$W$20&lt;=6)</formula>
    </cfRule>
    <cfRule type="expression" dxfId="133" priority="64" stopIfTrue="1">
      <formula>AND($W$20&gt;6,$W$20&lt;10)</formula>
    </cfRule>
    <cfRule type="expression" dxfId="132" priority="65" stopIfTrue="1">
      <formula>OR($W$20&lt;=3,$W$20&gt;=10)</formula>
    </cfRule>
  </conditionalFormatting>
  <conditionalFormatting sqref="AE20">
    <cfRule type="expression" dxfId="131" priority="47" stopIfTrue="1">
      <formula>AND($AB$20&gt;=3,$AB$20&lt;=6)</formula>
    </cfRule>
    <cfRule type="expression" dxfId="130" priority="48" stopIfTrue="1">
      <formula>AND($AB$20&gt;6,$AB$20&lt;10)</formula>
    </cfRule>
    <cfRule type="expression" dxfId="129" priority="49" stopIfTrue="1">
      <formula>OR($AB$20&lt;=3,$AB$20&gt;=10)</formula>
    </cfRule>
  </conditionalFormatting>
  <conditionalFormatting sqref="Z22">
    <cfRule type="expression" dxfId="128" priority="66" stopIfTrue="1">
      <formula>$W$22&lt;=0</formula>
    </cfRule>
  </conditionalFormatting>
  <conditionalFormatting sqref="AE22">
    <cfRule type="expression" dxfId="127" priority="46" stopIfTrue="1">
      <formula>$AB$22&lt;=0</formula>
    </cfRule>
  </conditionalFormatting>
  <conditionalFormatting sqref="Z29">
    <cfRule type="expression" dxfId="126" priority="67" stopIfTrue="1">
      <formula>$W$29&gt;=2</formula>
    </cfRule>
    <cfRule type="expression" dxfId="125" priority="68" stopIfTrue="1">
      <formula>AND($W$29&gt;=0,$W$29&lt;2)</formula>
    </cfRule>
    <cfRule type="expression" dxfId="124" priority="69" stopIfTrue="1">
      <formula>$W$29&lt;=0</formula>
    </cfRule>
  </conditionalFormatting>
  <conditionalFormatting sqref="Z31">
    <cfRule type="expression" dxfId="123" priority="70" stopIfTrue="1">
      <formula>AND($W$31&gt;0,$W$31&lt;=3)</formula>
    </cfRule>
    <cfRule type="expression" dxfId="122" priority="71" stopIfTrue="1">
      <formula>$W$31=0</formula>
    </cfRule>
    <cfRule type="expression" dxfId="121" priority="72" stopIfTrue="1">
      <formula>$W$31&gt;3</formula>
    </cfRule>
  </conditionalFormatting>
  <conditionalFormatting sqref="AE29">
    <cfRule type="expression" dxfId="120" priority="40" stopIfTrue="1">
      <formula>$AB$29&gt;=2</formula>
    </cfRule>
    <cfRule type="expression" dxfId="119" priority="41" stopIfTrue="1">
      <formula>AND($AB$29&gt;=0,$AB$29&lt;2)</formula>
    </cfRule>
    <cfRule type="expression" dxfId="118" priority="42" stopIfTrue="1">
      <formula>$AB$29&lt;=0</formula>
    </cfRule>
  </conditionalFormatting>
  <conditionalFormatting sqref="AE31">
    <cfRule type="expression" dxfId="117" priority="43" stopIfTrue="1">
      <formula>AND($AB$31&gt;0,$AB$31&lt;=3)</formula>
    </cfRule>
    <cfRule type="expression" dxfId="116" priority="44" stopIfTrue="1">
      <formula>$AB$31=0</formula>
    </cfRule>
    <cfRule type="expression" dxfId="115" priority="45" stopIfTrue="1">
      <formula>$AB$31&gt;3</formula>
    </cfRule>
  </conditionalFormatting>
  <conditionalFormatting sqref="Z33">
    <cfRule type="expression" dxfId="114" priority="73" stopIfTrue="1">
      <formula>$W$33&lt;3</formula>
    </cfRule>
    <cfRule type="expression" dxfId="113" priority="74" stopIfTrue="1">
      <formula>AND($W$33&gt;=3,$W$33&lt;=5)</formula>
    </cfRule>
    <cfRule type="expression" dxfId="112" priority="75" stopIfTrue="1">
      <formula>$W$33&gt;5</formula>
    </cfRule>
  </conditionalFormatting>
  <conditionalFormatting sqref="Z35">
    <cfRule type="expression" dxfId="111" priority="76" stopIfTrue="1">
      <formula>$W$35&lt;5</formula>
    </cfRule>
    <cfRule type="expression" dxfId="110" priority="77" stopIfTrue="1">
      <formula>AND($W$35&gt;=5,$W$35&lt;=10)</formula>
    </cfRule>
    <cfRule type="expression" dxfId="109" priority="78" stopIfTrue="1">
      <formula>$W$35&gt;10</formula>
    </cfRule>
  </conditionalFormatting>
  <conditionalFormatting sqref="AE33">
    <cfRule type="expression" dxfId="108" priority="34" stopIfTrue="1">
      <formula>$AB$33&lt;3</formula>
    </cfRule>
    <cfRule type="expression" dxfId="107" priority="35" stopIfTrue="1">
      <formula>AND($AB$33&gt;=3,$AB$33&lt;=5)</formula>
    </cfRule>
    <cfRule type="expression" dxfId="106" priority="36" stopIfTrue="1">
      <formula>$AB$33&gt;5</formula>
    </cfRule>
  </conditionalFormatting>
  <conditionalFormatting sqref="AE35">
    <cfRule type="expression" dxfId="105" priority="37" stopIfTrue="1">
      <formula>$AB$35&lt;5</formula>
    </cfRule>
    <cfRule type="expression" dxfId="104" priority="38" stopIfTrue="1">
      <formula>AND($AB$35&gt;=5,$AB$35&lt;=10)</formula>
    </cfRule>
    <cfRule type="expression" dxfId="103" priority="39" stopIfTrue="1">
      <formula>$AB$35&gt;10</formula>
    </cfRule>
  </conditionalFormatting>
  <conditionalFormatting sqref="Z46">
    <cfRule type="expression" dxfId="102" priority="79" stopIfTrue="1">
      <formula>$W$46&lt;=90</formula>
    </cfRule>
    <cfRule type="expression" dxfId="101" priority="80" stopIfTrue="1">
      <formula>AND($W$46&gt;90,$W$46&lt;=100)</formula>
    </cfRule>
    <cfRule type="expression" dxfId="100" priority="81" stopIfTrue="1">
      <formula>$W$46&gt;100</formula>
    </cfRule>
  </conditionalFormatting>
  <conditionalFormatting sqref="Z43">
    <cfRule type="expression" dxfId="99" priority="82" stopIfTrue="1">
      <formula>$W$43&lt;=100</formula>
    </cfRule>
    <cfRule type="expression" dxfId="98" priority="83" stopIfTrue="1">
      <formula>AND($W$43&gt;100,$W$46&lt;=100)</formula>
    </cfRule>
    <cfRule type="expression" dxfId="97" priority="84" stopIfTrue="1">
      <formula>$W$46&gt;100</formula>
    </cfRule>
  </conditionalFormatting>
  <conditionalFormatting sqref="AE43">
    <cfRule type="expression" dxfId="96" priority="31" stopIfTrue="1">
      <formula>$AB$43&lt;=100</formula>
    </cfRule>
    <cfRule type="expression" dxfId="95" priority="32" stopIfTrue="1">
      <formula>AND($AB$43&gt;100,$AB$46&lt;=100)</formula>
    </cfRule>
    <cfRule type="expression" dxfId="94" priority="33" stopIfTrue="1">
      <formula>$AB$46&gt;100</formula>
    </cfRule>
  </conditionalFormatting>
  <conditionalFormatting sqref="AE46">
    <cfRule type="expression" dxfId="93" priority="28" stopIfTrue="1">
      <formula>$AB$46&lt;=90</formula>
    </cfRule>
    <cfRule type="expression" dxfId="92" priority="29" stopIfTrue="1">
      <formula>AND($AB$46&gt;90,$AB$46&lt;=100)</formula>
    </cfRule>
    <cfRule type="expression" dxfId="91" priority="30" stopIfTrue="1">
      <formula>$AB$46&gt;100</formula>
    </cfRule>
  </conditionalFormatting>
  <conditionalFormatting sqref="Z40">
    <cfRule type="expression" dxfId="90" priority="85" stopIfTrue="1">
      <formula>$W$40&lt;=$J$11</formula>
    </cfRule>
    <cfRule type="expression" dxfId="89" priority="86" stopIfTrue="1">
      <formula>AND($W$40&gt;$J$11,$W$40&lt;=$J$10)</formula>
    </cfRule>
    <cfRule type="expression" dxfId="88" priority="87" stopIfTrue="1">
      <formula>$W$40&gt;$J$10</formula>
    </cfRule>
  </conditionalFormatting>
  <conditionalFormatting sqref="AE40">
    <cfRule type="expression" dxfId="87" priority="88" stopIfTrue="1">
      <formula>$AB$40&lt;=$M$11</formula>
    </cfRule>
    <cfRule type="expression" dxfId="86" priority="89" stopIfTrue="1">
      <formula>AND($AB$40&gt;$M$11,$AB$40&lt;=$M$10)</formula>
    </cfRule>
    <cfRule type="expression" dxfId="85" priority="90" stopIfTrue="1">
      <formula>$AB$40&gt;$M$10</formula>
    </cfRule>
  </conditionalFormatting>
  <conditionalFormatting sqref="Z14">
    <cfRule type="expression" dxfId="84" priority="27" stopIfTrue="1">
      <formula>$W$22&lt;=0</formula>
    </cfRule>
  </conditionalFormatting>
  <conditionalFormatting sqref="Z16">
    <cfRule type="expression" dxfId="83" priority="26" stopIfTrue="1">
      <formula>$W$22&lt;=0</formula>
    </cfRule>
  </conditionalFormatting>
  <conditionalFormatting sqref="AE14">
    <cfRule type="expression" dxfId="82" priority="25" stopIfTrue="1">
      <formula>$W$22&lt;=0</formula>
    </cfRule>
  </conditionalFormatting>
  <conditionalFormatting sqref="AE16">
    <cfRule type="expression" dxfId="81" priority="24" stopIfTrue="1">
      <formula>$W$22&lt;=0</formula>
    </cfRule>
  </conditionalFormatting>
  <conditionalFormatting sqref="AV45:AV46">
    <cfRule type="cellIs" dxfId="80" priority="6" operator="equal">
      <formula>"E"</formula>
    </cfRule>
  </conditionalFormatting>
  <conditionalFormatting sqref="AV10:AV16 AV19">
    <cfRule type="cellIs" dxfId="79" priority="5" operator="equal">
      <formula>"E"</formula>
    </cfRule>
  </conditionalFormatting>
  <conditionalFormatting sqref="AV22:AV27">
    <cfRule type="cellIs" dxfId="78" priority="2" operator="equal">
      <formula>"E"</formula>
    </cfRule>
  </conditionalFormatting>
  <conditionalFormatting sqref="AV29">
    <cfRule type="cellIs" dxfId="77" priority="3" operator="equal">
      <formula>"E"</formula>
    </cfRule>
  </conditionalFormatting>
  <conditionalFormatting sqref="AV31">
    <cfRule type="cellIs" dxfId="76" priority="1" operator="equal">
      <formula>"E"</formula>
    </cfRule>
  </conditionalFormatting>
  <conditionalFormatting sqref="AV34:AV40">
    <cfRule type="cellIs" dxfId="75" priority="4" operator="equal">
      <formula>"E"</formula>
    </cfRule>
  </conditionalFormatting>
  <pageMargins left="0.25" right="0.25" top="0.75" bottom="0.75" header="0.3" footer="0.3"/>
  <pageSetup paperSize="8" scale="61" orientation="landscape" r:id="rId1"/>
  <headerFooter scaleWithDoc="0">
    <oddHeader>&amp;R&amp;"Univers,Fett"
&amp;G</oddHeader>
    <oddFooter xml:space="preserve">&amp;L&amp;8Verfasser: NN/NN
Datei:  &amp;F
Copyright by Brose. Alle Rechte vorbehalten&amp;C&amp;8Seite: &amp;P/&amp;N
&amp;R&amp;8Stand: 
Index: 100
</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9937" r:id="rId5" name="Drop Down 1">
              <controlPr defaultSize="0" print="0" autoLine="0" autoPict="0" macro="[0]!Dropdown2_BeiÄnderung">
                <anchor moveWithCells="1">
                  <from>
                    <xdr:col>1</xdr:col>
                    <xdr:colOff>66675</xdr:colOff>
                    <xdr:row>0</xdr:row>
                    <xdr:rowOff>114300</xdr:rowOff>
                  </from>
                  <to>
                    <xdr:col>6</xdr:col>
                    <xdr:colOff>200025</xdr:colOff>
                    <xdr:row>0</xdr:row>
                    <xdr:rowOff>371475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485B5-7C61-43EB-BC60-F0E83F031429}">
  <sheetPr codeName="Tabelle3">
    <outlinePr summaryBelow="0" summaryRight="0"/>
    <pageSetUpPr fitToPage="1"/>
  </sheetPr>
  <dimension ref="A1:AY123"/>
  <sheetViews>
    <sheetView showGridLines="0" zoomScaleNormal="100" workbookViewId="0">
      <selection activeCell="AF9" sqref="AF9"/>
    </sheetView>
  </sheetViews>
  <sheetFormatPr baseColWidth="10" defaultColWidth="11" defaultRowHeight="12.75" outlineLevelCol="1" x14ac:dyDescent="0.2"/>
  <cols>
    <col min="1" max="1" width="1.5" style="301" customWidth="1"/>
    <col min="2" max="12" width="4.875" style="246" customWidth="1"/>
    <col min="13" max="13" width="4.875" style="248" customWidth="1"/>
    <col min="14" max="14" width="4.875" style="246" customWidth="1"/>
    <col min="15" max="15" width="3.875" style="249" customWidth="1"/>
    <col min="16" max="19" width="5.875" style="246" customWidth="1"/>
    <col min="20" max="20" width="4.875" style="246" customWidth="1"/>
    <col min="21" max="21" width="1.875" style="246" customWidth="1"/>
    <col min="22" max="22" width="4.875" style="246" customWidth="1"/>
    <col min="23" max="24" width="4.625" style="246" customWidth="1"/>
    <col min="25" max="25" width="1.25" style="246" customWidth="1"/>
    <col min="26" max="26" width="2.125" style="246" customWidth="1"/>
    <col min="27" max="27" width="1.25" style="246" customWidth="1"/>
    <col min="28" max="29" width="4.625" style="246" customWidth="1"/>
    <col min="30" max="30" width="1.25" style="246" customWidth="1"/>
    <col min="31" max="31" width="2.125" style="246" customWidth="1"/>
    <col min="32" max="32" width="2.25" style="246" customWidth="1"/>
    <col min="33" max="33" width="2.25" style="246" customWidth="1" collapsed="1"/>
    <col min="34" max="34" width="54.5" style="305" hidden="1" customWidth="1" outlineLevel="1"/>
    <col min="35" max="35" width="13" style="299" customWidth="1" collapsed="1"/>
    <col min="36" max="36" width="3.125" style="246" hidden="1" customWidth="1" outlineLevel="1"/>
    <col min="37" max="37" width="11" style="300" hidden="1" customWidth="1" outlineLevel="1"/>
    <col min="38" max="45" width="11" style="246" hidden="1" customWidth="1" outlineLevel="1"/>
    <col min="46" max="46" width="18.875" style="246" hidden="1" customWidth="1" outlineLevel="1"/>
    <col min="47" max="47" width="2.5" style="246" hidden="1" customWidth="1" outlineLevel="1"/>
    <col min="48" max="48" width="4.25" style="246" hidden="1" customWidth="1" outlineLevel="1"/>
    <col min="49" max="50" width="0" style="246" hidden="1" customWidth="1" outlineLevel="1"/>
    <col min="51" max="51" width="2.5" style="246" hidden="1" customWidth="1" outlineLevel="1"/>
    <col min="52" max="16384" width="11" style="246"/>
  </cols>
  <sheetData>
    <row r="1" spans="1:51" ht="40.5" customHeight="1" x14ac:dyDescent="0.2">
      <c r="A1" s="296"/>
      <c r="B1" s="297"/>
      <c r="C1" s="297"/>
      <c r="D1" s="297"/>
      <c r="E1" s="297"/>
      <c r="F1" s="297"/>
      <c r="G1" s="297"/>
      <c r="H1" s="889" t="str">
        <f>HLOOKUP('4 Language'!$B$2,'4 Language'!$C$12:$H$170,2)</f>
        <v>Sprachauswahl 
(Select Language)</v>
      </c>
      <c r="I1" s="889"/>
      <c r="J1" s="889"/>
      <c r="K1" s="890" t="str">
        <f>HLOOKUP('4 Language'!$B$8,'4 Language'!$C$12:$H$307,232)</f>
        <v>Hier wird nur die rechten Blatthälfte: "Auswertungsbereich"umgestellt. Die Übernahme aus dem Parameterdatenblatt erfolgt in der hier voreingestellten Sprache.</v>
      </c>
      <c r="L1" s="890"/>
      <c r="M1" s="890"/>
      <c r="N1" s="890"/>
      <c r="O1" s="890"/>
      <c r="P1" s="890"/>
      <c r="Q1" s="890"/>
      <c r="R1" s="890"/>
      <c r="S1" s="890"/>
      <c r="T1" s="890"/>
      <c r="U1" s="890"/>
      <c r="V1" s="890"/>
      <c r="W1" s="890"/>
      <c r="X1" s="890"/>
      <c r="Y1" s="890"/>
      <c r="Z1" s="890"/>
      <c r="AA1" s="890"/>
      <c r="AB1" s="890"/>
      <c r="AC1" s="890"/>
      <c r="AD1" s="890"/>
      <c r="AE1" s="890"/>
      <c r="AF1" s="297"/>
      <c r="AG1" s="297"/>
      <c r="AH1" s="298" t="s">
        <v>1756</v>
      </c>
    </row>
    <row r="2" spans="1:51" ht="30" customHeight="1" x14ac:dyDescent="0.2">
      <c r="B2" s="435" t="str">
        <f>HLOOKUP('4 Language'!$B$8,'4 Language'!$C$12:$H$307,283)</f>
        <v xml:space="preserve">BROSE INTERN . Prozess Analyse </v>
      </c>
      <c r="K2" s="489" t="str">
        <f>HLOOKUP('4 Language'!$B$8,'4 Language'!$C$12:$H$307,284)</f>
        <v>KOMPONENTE:</v>
      </c>
      <c r="L2" s="247"/>
      <c r="O2" s="490" t="s">
        <v>1817</v>
      </c>
      <c r="P2" s="393" t="str">
        <f>HLOOKUP('4 Language'!$B$8,'4 Language'!$C$12:$H$307,202)</f>
        <v>Bitte Formeln nicht verändern!</v>
      </c>
      <c r="Q2" s="271"/>
      <c r="R2" s="271"/>
      <c r="S2" s="271"/>
      <c r="T2" s="272"/>
      <c r="U2" s="272"/>
      <c r="V2" s="272"/>
      <c r="W2" s="272"/>
      <c r="X2" s="272"/>
      <c r="Y2" s="272"/>
      <c r="Z2" s="272"/>
      <c r="AA2" s="897" t="s">
        <v>1730</v>
      </c>
      <c r="AB2" s="897"/>
      <c r="AC2" s="896" t="str">
        <f>'4 Language'!C5</f>
        <v xml:space="preserve"> i105 2K</v>
      </c>
      <c r="AD2" s="896"/>
      <c r="AE2" s="896"/>
      <c r="AF2" s="397"/>
      <c r="AH2" s="302"/>
      <c r="AJ2" s="303"/>
      <c r="AK2" s="304"/>
      <c r="AL2" s="303"/>
      <c r="AM2" s="303"/>
    </row>
    <row r="3" spans="1:51" ht="19.899999999999999" customHeight="1" x14ac:dyDescent="0.2">
      <c r="Q3" s="273"/>
      <c r="R3" s="274"/>
      <c r="S3" s="274"/>
      <c r="T3" s="274"/>
      <c r="AJ3" s="303"/>
      <c r="AK3" s="304"/>
      <c r="AL3" s="303"/>
      <c r="AM3" s="303"/>
    </row>
    <row r="4" spans="1:51" ht="19.899999999999999" customHeight="1" x14ac:dyDescent="0.2">
      <c r="B4" s="250" t="str">
        <f>HLOOKUP('4 Language'!$B$8,'4 Language'!$C$12:$H$307,233)</f>
        <v>Übernahme Parameterdatenblatt</v>
      </c>
      <c r="C4" s="251"/>
      <c r="D4" s="251"/>
      <c r="E4" s="251"/>
      <c r="F4" s="251"/>
      <c r="G4" s="251"/>
      <c r="H4" s="251"/>
      <c r="I4" s="251"/>
      <c r="J4" s="250" t="str">
        <f>HLOOKUP('4 Language'!$B$8,'4 Language'!$C$12:$H$307,234)</f>
        <v>PDS</v>
      </c>
      <c r="K4" s="252" t="s">
        <v>1731</v>
      </c>
      <c r="L4" s="251"/>
      <c r="M4" s="253" t="str">
        <f>HLOOKUP('4 Language'!$B$8,'4 Language'!$C$12:$H$307,235)</f>
        <v>Eingabe</v>
      </c>
      <c r="N4" s="252" t="s">
        <v>1731</v>
      </c>
      <c r="O4" s="254"/>
      <c r="P4" s="250" t="str">
        <f>HLOOKUP('4 Language'!$B$8,'4 Language'!$C$12:$H$307,282)</f>
        <v>Auswertungsbereich</v>
      </c>
      <c r="Q4" s="251"/>
      <c r="R4" s="251"/>
      <c r="S4" s="251"/>
      <c r="T4" s="251"/>
      <c r="U4" s="251"/>
      <c r="V4" s="251"/>
      <c r="W4" s="252" t="s">
        <v>1731</v>
      </c>
      <c r="X4" s="250" t="str">
        <f>HLOOKUP('4 Language'!$B$8,'4 Language'!$C$12:$H$307,234)</f>
        <v>PDS</v>
      </c>
      <c r="Y4" s="251"/>
      <c r="Z4" s="253"/>
      <c r="AA4" s="253"/>
      <c r="AB4" s="252" t="s">
        <v>1731</v>
      </c>
      <c r="AC4" s="291" t="str">
        <f>HLOOKUP('4 Language'!$B$8,'4 Language'!$C$12:$H$307,235)</f>
        <v>Eingabe</v>
      </c>
      <c r="AD4" s="252"/>
      <c r="AE4" s="251"/>
      <c r="AJ4" s="303"/>
      <c r="AK4" s="304"/>
      <c r="AL4" s="303"/>
      <c r="AM4" s="303"/>
    </row>
    <row r="5" spans="1:51" ht="19.899999999999999" customHeight="1" x14ac:dyDescent="0.2">
      <c r="B5" s="891" t="str">
        <f>HLOOKUP('4 Language'!$B$8,'4 Language'!$C$12:$H$307,237)</f>
        <v>Im rechten Bereich der Auswertung sind links (graue Felder) die Eingaben aus dem PDS selbst abgebildet, rechts (gelbe Felder) können eigene Werte zur Überprüfung von Optimierungsansätzen eingesetzt werden.</v>
      </c>
      <c r="C5" s="891"/>
      <c r="D5" s="891"/>
      <c r="E5" s="891"/>
      <c r="F5" s="891"/>
      <c r="G5" s="891"/>
      <c r="H5" s="891"/>
      <c r="I5" s="891"/>
      <c r="J5" s="891"/>
      <c r="K5" s="891"/>
      <c r="L5" s="891"/>
      <c r="M5" s="891"/>
      <c r="N5" s="891"/>
      <c r="P5" s="270"/>
      <c r="Q5" s="270"/>
      <c r="R5" s="270"/>
      <c r="S5" s="270"/>
      <c r="T5" s="270"/>
      <c r="U5" s="270"/>
      <c r="V5" s="270"/>
      <c r="W5" s="270"/>
      <c r="X5" s="270"/>
      <c r="Y5" s="270"/>
      <c r="Z5" s="270"/>
      <c r="AA5" s="270"/>
      <c r="AB5" s="270"/>
      <c r="AC5" s="275"/>
      <c r="AD5" s="248"/>
      <c r="AF5" s="306"/>
      <c r="AG5" s="306"/>
      <c r="AJ5" s="303"/>
      <c r="AK5" s="304"/>
      <c r="AL5" s="303"/>
      <c r="AM5" s="303"/>
    </row>
    <row r="6" spans="1:51" ht="19.899999999999999" customHeight="1" x14ac:dyDescent="0.2">
      <c r="B6" s="892"/>
      <c r="C6" s="892"/>
      <c r="D6" s="892"/>
      <c r="E6" s="892"/>
      <c r="F6" s="892"/>
      <c r="G6" s="892"/>
      <c r="H6" s="892"/>
      <c r="I6" s="892"/>
      <c r="J6" s="892"/>
      <c r="K6" s="892"/>
      <c r="L6" s="892"/>
      <c r="M6" s="892"/>
      <c r="N6" s="892"/>
      <c r="P6" s="255" t="str">
        <f>HLOOKUP('4 Language'!$B$8,'4 Language'!$C$12:$H$307,209)</f>
        <v>Dosierhub eingestellt</v>
      </c>
      <c r="Q6" s="256"/>
      <c r="R6" s="256"/>
      <c r="S6" s="256"/>
      <c r="T6" s="256"/>
      <c r="U6" s="256"/>
      <c r="V6" s="257" t="s">
        <v>1734</v>
      </c>
      <c r="W6" s="880" t="str">
        <f>IF(ISERROR(J16/(PI()/4*POWER(J13/10,2))*10),"--",J16/(PI()/4*POWER(J13/10,2))*10)</f>
        <v>--</v>
      </c>
      <c r="X6" s="880"/>
      <c r="Y6" s="256"/>
      <c r="Z6" s="256"/>
      <c r="AA6" s="256"/>
      <c r="AB6" s="880" t="str">
        <f>IF(ISERROR(AW16/(PI()/4*POWER(AW13/10,2))*10),"--",AW16/(PI()/4*POWER(AW13/10,2))*10)</f>
        <v>--</v>
      </c>
      <c r="AC6" s="880"/>
      <c r="AD6" s="256"/>
      <c r="AE6" s="256"/>
      <c r="AF6" s="306"/>
      <c r="AG6" s="306"/>
      <c r="AH6" s="67" t="s">
        <v>1757</v>
      </c>
      <c r="AJ6" s="307"/>
      <c r="AK6" s="308"/>
      <c r="AL6" s="309"/>
      <c r="AM6" s="309"/>
      <c r="AN6" s="310"/>
      <c r="AO6" s="310"/>
      <c r="AP6" s="310"/>
      <c r="AQ6" s="310"/>
      <c r="AR6" s="310"/>
      <c r="AS6" s="310"/>
      <c r="AT6" s="310"/>
      <c r="AU6" s="310"/>
      <c r="AV6" s="310"/>
      <c r="AW6" s="719"/>
      <c r="AX6" s="719"/>
      <c r="AY6" s="311"/>
    </row>
    <row r="7" spans="1:51" ht="19.899999999999999" customHeight="1" x14ac:dyDescent="0.2">
      <c r="B7" s="892"/>
      <c r="C7" s="892"/>
      <c r="D7" s="892"/>
      <c r="E7" s="892"/>
      <c r="F7" s="892"/>
      <c r="G7" s="892"/>
      <c r="H7" s="892"/>
      <c r="I7" s="892"/>
      <c r="J7" s="892"/>
      <c r="K7" s="892"/>
      <c r="L7" s="892"/>
      <c r="M7" s="892"/>
      <c r="N7" s="892"/>
      <c r="AF7" s="306"/>
      <c r="AG7" s="306"/>
      <c r="AH7" s="67" t="s">
        <v>1758</v>
      </c>
      <c r="AJ7" s="312"/>
      <c r="AK7" s="313" t="str">
        <f>HLOOKUP('4 Language'!$B$8,'4 Language'!$C$12:$H$307,230)</f>
        <v>Übergabemaske - bitte keine Änderungen vornehmen!</v>
      </c>
      <c r="AL7" s="72"/>
      <c r="AM7" s="72"/>
      <c r="AN7" s="314"/>
      <c r="AO7" s="314"/>
      <c r="AP7" s="314"/>
      <c r="AQ7" s="314"/>
      <c r="AR7" s="314"/>
      <c r="AS7" s="314"/>
      <c r="AT7" s="912" t="s">
        <v>1809</v>
      </c>
      <c r="AU7" s="314"/>
      <c r="AV7" s="314"/>
      <c r="AX7"/>
      <c r="AY7" s="315"/>
    </row>
    <row r="8" spans="1:51" ht="19.5" customHeight="1" x14ac:dyDescent="0.2">
      <c r="B8" s="893"/>
      <c r="C8" s="893"/>
      <c r="D8" s="893"/>
      <c r="E8" s="893"/>
      <c r="F8" s="893"/>
      <c r="G8" s="893"/>
      <c r="H8" s="893"/>
      <c r="I8" s="893"/>
      <c r="J8" s="893"/>
      <c r="K8" s="893"/>
      <c r="L8" s="893"/>
      <c r="M8" s="893"/>
      <c r="N8" s="893"/>
      <c r="P8" s="255" t="str">
        <f>HLOOKUP('4 Language'!$B$8,'4 Language'!$C$12:$H$307,208)</f>
        <v>Dosierhub maximal</v>
      </c>
      <c r="Q8" s="256"/>
      <c r="R8" s="256"/>
      <c r="S8" s="256"/>
      <c r="T8" s="256"/>
      <c r="U8" s="256"/>
      <c r="V8" s="257" t="s">
        <v>1734</v>
      </c>
      <c r="W8" s="880" t="str">
        <f>IF(ISERROR(J17/(PI()/4*POWER(J13/10,2))*10),"--",J17/(PI()/4*POWER(J13/10,2))*10)</f>
        <v>--</v>
      </c>
      <c r="X8" s="880"/>
      <c r="Y8" s="256"/>
      <c r="Z8" s="256"/>
      <c r="AA8" s="256"/>
      <c r="AB8" s="880" t="str">
        <f>IF(ISERROR(M17/(PI()/4*POWER(AW13/10,2))*10),"--",M17/(PI()/4*POWER(AW13/10,2))*10)</f>
        <v>--</v>
      </c>
      <c r="AC8" s="880"/>
      <c r="AD8" s="256"/>
      <c r="AE8" s="256"/>
      <c r="AF8" s="306"/>
      <c r="AG8" s="306"/>
      <c r="AJ8" s="312"/>
      <c r="AK8" s="316"/>
      <c r="AL8" s="72"/>
      <c r="AM8" s="72"/>
      <c r="AN8" s="314"/>
      <c r="AO8" s="314"/>
      <c r="AP8" s="314"/>
      <c r="AQ8" s="314"/>
      <c r="AR8" s="314"/>
      <c r="AS8" s="314"/>
      <c r="AT8" s="912"/>
      <c r="AU8" s="314"/>
      <c r="AV8" s="314"/>
      <c r="AX8"/>
      <c r="AY8" s="315"/>
    </row>
    <row r="9" spans="1:51" ht="19.149999999999999" customHeight="1" x14ac:dyDescent="0.2">
      <c r="P9" s="881" t="str">
        <f>HLOOKUP('4 Language'!$B$8,'4 Language'!$C$12:$H$307,210)</f>
        <v>Verhältnis Dosierhub / Schneckendurchmesser</v>
      </c>
      <c r="Q9" s="881"/>
      <c r="R9" s="881"/>
      <c r="S9" s="881"/>
      <c r="T9" s="881"/>
      <c r="U9" s="292"/>
      <c r="V9" s="276"/>
      <c r="W9" s="276"/>
      <c r="X9" s="277"/>
      <c r="Y9" s="277"/>
      <c r="Z9" s="277"/>
      <c r="AE9" s="268"/>
      <c r="AF9" s="306"/>
      <c r="AG9" s="306"/>
      <c r="AJ9" s="312"/>
      <c r="AK9" s="255" t="str">
        <f>HLOOKUP('4 Language'!$B$8,'4 Language'!$C$12:$H$307,22)</f>
        <v>Maximale Schließkraft</v>
      </c>
      <c r="AL9" s="317"/>
      <c r="AM9" s="317"/>
      <c r="AN9" s="317"/>
      <c r="AO9" s="317"/>
      <c r="AP9" s="485">
        <f>'1 Injection molding 2K . 3K'!Y10</f>
        <v>0</v>
      </c>
      <c r="AQ9" s="319" t="s">
        <v>1770</v>
      </c>
      <c r="AR9" s="314"/>
      <c r="AS9" s="314"/>
      <c r="AT9" s="912"/>
      <c r="AU9" s="72"/>
      <c r="AX9"/>
      <c r="AY9" s="315"/>
    </row>
    <row r="10" spans="1:51" ht="19.5" customHeight="1" x14ac:dyDescent="0.2">
      <c r="B10" s="400" t="str">
        <f>HLOOKUP('4 Language'!$B$2,'4 Language'!$C$12:$H$307,22)</f>
        <v>Maximale Schließkraft</v>
      </c>
      <c r="C10" s="463"/>
      <c r="D10" s="463"/>
      <c r="E10" s="463"/>
      <c r="F10" s="463"/>
      <c r="G10" s="463"/>
      <c r="H10" s="463"/>
      <c r="I10" s="464" t="s">
        <v>1740</v>
      </c>
      <c r="J10" s="909">
        <f>AP9</f>
        <v>0</v>
      </c>
      <c r="K10" s="894"/>
      <c r="L10" s="463"/>
      <c r="M10" s="895"/>
      <c r="N10" s="895"/>
      <c r="P10" s="882"/>
      <c r="Q10" s="882"/>
      <c r="R10" s="882"/>
      <c r="S10" s="882"/>
      <c r="T10" s="882"/>
      <c r="U10" s="256"/>
      <c r="V10" s="257" t="s">
        <v>1735</v>
      </c>
      <c r="W10" s="880" t="str">
        <f>IF(ISERROR((J17/(PI()/4*POWER(J13/10,2))*10)/J13),"--",(J17/(PI()/4*POWER(J13/10,2))*10)/J13)</f>
        <v>--</v>
      </c>
      <c r="X10" s="880"/>
      <c r="Y10" s="256"/>
      <c r="Z10" s="278"/>
      <c r="AA10" s="266"/>
      <c r="AB10" s="880" t="str">
        <f>IF(ISERROR((M17/(PI()/4*POWER(AW13/10,2))*10)/AW13),"--",(M17/(PI()/4*POWER(AW13/10,2))*10)/AW13)</f>
        <v>--</v>
      </c>
      <c r="AC10" s="880"/>
      <c r="AD10" s="256"/>
      <c r="AE10" s="278"/>
      <c r="AF10" s="306"/>
      <c r="AG10" s="306"/>
      <c r="AH10" s="320" t="s">
        <v>1759</v>
      </c>
      <c r="AJ10" s="312"/>
      <c r="AK10" s="255" t="str">
        <f>HLOOKUP('4 Language'!$B$8,'4 Language'!$C$12:$H$307,23)</f>
        <v>Eingestellte Schließkraft</v>
      </c>
      <c r="AL10" s="322"/>
      <c r="AM10" s="322"/>
      <c r="AN10" s="322"/>
      <c r="AO10" s="322"/>
      <c r="AP10" s="486">
        <f>'1 Injection molding 2K . 3K'!Y11</f>
        <v>0</v>
      </c>
      <c r="AQ10" s="324" t="s">
        <v>1770</v>
      </c>
      <c r="AR10" s="314"/>
      <c r="AS10" s="314"/>
      <c r="AT10" s="912"/>
      <c r="AU10" s="72"/>
      <c r="AV10" s="720" t="str" cm="1">
        <f t="array" ref="AV10">IF(AW10=J10,"Ü",IF(AW10=M10,"E",X))</f>
        <v>Ü</v>
      </c>
      <c r="AW10" s="721">
        <f t="shared" ref="AW10:AW16" si="0">IF(M10="",J10,M10)</f>
        <v>0</v>
      </c>
      <c r="AX10"/>
      <c r="AY10" s="315"/>
    </row>
    <row r="11" spans="1:51" ht="19.5" customHeight="1" x14ac:dyDescent="0.2">
      <c r="B11" s="404" t="str">
        <f>HLOOKUP('4 Language'!$B$2,'4 Language'!$C$12:$H$307,23)</f>
        <v>Eingestellte Schließkraft</v>
      </c>
      <c r="C11" s="465"/>
      <c r="D11" s="465"/>
      <c r="E11" s="465"/>
      <c r="F11" s="465"/>
      <c r="G11" s="465"/>
      <c r="H11" s="465"/>
      <c r="I11" s="466" t="s">
        <v>1740</v>
      </c>
      <c r="J11" s="910">
        <f>AP10</f>
        <v>0</v>
      </c>
      <c r="K11" s="870"/>
      <c r="L11" s="465"/>
      <c r="M11" s="867"/>
      <c r="N11" s="867"/>
      <c r="AF11" s="306"/>
      <c r="AG11" s="306"/>
      <c r="AH11" s="268"/>
      <c r="AI11" s="325"/>
      <c r="AJ11" s="312"/>
      <c r="AK11" s="255" t="str">
        <f>HLOOKUP('4 Language'!$B$8,'4 Language'!$C$12:$H$307,24)</f>
        <v>Projizierte Bauteilfläche</v>
      </c>
      <c r="AL11" s="326"/>
      <c r="AM11" s="326"/>
      <c r="AN11" s="326"/>
      <c r="AO11" s="327"/>
      <c r="AP11" s="328">
        <f>'1 Injection molding 2K . 3K'!Z57</f>
        <v>0</v>
      </c>
      <c r="AQ11" s="324" t="s">
        <v>1771</v>
      </c>
      <c r="AR11" s="314"/>
      <c r="AS11" s="314"/>
      <c r="AT11" s="912"/>
      <c r="AU11" s="72"/>
      <c r="AV11" s="720" t="str" cm="1">
        <f t="array" ref="AV11">IF(AW11=J11,"Ü",IF(AW11=M11,"E",X))</f>
        <v>Ü</v>
      </c>
      <c r="AW11" s="721">
        <f t="shared" si="0"/>
        <v>0</v>
      </c>
      <c r="AX11"/>
      <c r="AY11" s="315"/>
    </row>
    <row r="12" spans="1:51" ht="19.5" customHeight="1" x14ac:dyDescent="0.2">
      <c r="B12" s="404" t="str">
        <f>HLOOKUP('4 Language'!$B$2,'4 Language'!$C$12:$H$307,24)</f>
        <v>Projizierte Bauteilfläche</v>
      </c>
      <c r="C12" s="467"/>
      <c r="D12" s="467"/>
      <c r="E12" s="467"/>
      <c r="F12" s="467"/>
      <c r="G12" s="467"/>
      <c r="H12" s="468"/>
      <c r="I12" s="466" t="s">
        <v>1741</v>
      </c>
      <c r="J12" s="870">
        <f>AP11</f>
        <v>0</v>
      </c>
      <c r="K12" s="870"/>
      <c r="L12" s="465"/>
      <c r="M12" s="867"/>
      <c r="N12" s="867"/>
      <c r="P12" s="255" t="str">
        <f>HLOOKUP('4 Language'!$B$8,'4 Language'!$C$12:$H$307,211)</f>
        <v>Zylinderauslastung</v>
      </c>
      <c r="Q12" s="256"/>
      <c r="R12" s="256"/>
      <c r="S12" s="256"/>
      <c r="T12" s="256"/>
      <c r="U12" s="256"/>
      <c r="V12" s="257" t="s">
        <v>1736</v>
      </c>
      <c r="W12" s="880" t="str">
        <f>IF(ISERROR(J17/J16*100),"--",J17/J16*100)</f>
        <v>--</v>
      </c>
      <c r="X12" s="880"/>
      <c r="Y12" s="256"/>
      <c r="Z12" s="278"/>
      <c r="AA12" s="266"/>
      <c r="AB12" s="880" t="str">
        <f>IF(ISERROR(M17/AW16*100),"--",M17/AW16*100)</f>
        <v>--</v>
      </c>
      <c r="AC12" s="880"/>
      <c r="AD12" s="256"/>
      <c r="AE12" s="278"/>
      <c r="AH12" s="320" t="s">
        <v>1760</v>
      </c>
      <c r="AJ12" s="312"/>
      <c r="AK12" s="255" t="str">
        <f>HLOOKUP('4 Language'!$B$8,'4 Language'!$C$12:$H$307,25)</f>
        <v>Schneckendurchmesser</v>
      </c>
      <c r="AL12" s="327"/>
      <c r="AM12" s="327"/>
      <c r="AN12" s="327"/>
      <c r="AO12" s="327"/>
      <c r="AP12" s="323">
        <f>'1 Injection molding 2K . 3K'!Z22</f>
        <v>0</v>
      </c>
      <c r="AQ12" s="324" t="s">
        <v>1772</v>
      </c>
      <c r="AR12" s="314"/>
      <c r="AS12" s="314"/>
      <c r="AT12" s="912"/>
      <c r="AU12" s="72"/>
      <c r="AV12" s="720" t="str" cm="1">
        <f t="array" ref="AV12">IF(AW12=J12,"Ü",IF(AW12=M12,"E",X))</f>
        <v>Ü</v>
      </c>
      <c r="AW12" s="721">
        <f t="shared" si="0"/>
        <v>0</v>
      </c>
      <c r="AX12"/>
      <c r="AY12" s="315"/>
    </row>
    <row r="13" spans="1:51" ht="19.5" customHeight="1" x14ac:dyDescent="0.2">
      <c r="B13" s="404" t="str">
        <f>HLOOKUP('4 Language'!$B$2,'4 Language'!$C$12:$H$307,25)</f>
        <v>Schneckendurchmesser</v>
      </c>
      <c r="C13" s="465"/>
      <c r="D13" s="465"/>
      <c r="E13" s="465"/>
      <c r="F13" s="465"/>
      <c r="G13" s="465"/>
      <c r="H13" s="468"/>
      <c r="I13" s="466" t="s">
        <v>1734</v>
      </c>
      <c r="J13" s="870">
        <f t="shared" ref="J13:J16" si="1">AP12</f>
        <v>0</v>
      </c>
      <c r="K13" s="870"/>
      <c r="L13" s="465"/>
      <c r="M13" s="867"/>
      <c r="N13" s="867"/>
      <c r="P13" s="901" t="str">
        <f>HLOOKUP('4 Language'!$B$8,'4 Language'!$C$12:$H$307,212)&amp;"  min"</f>
        <v>Gewichtsverhältnis nachdruckfrei zu ausgedrückt  min</v>
      </c>
      <c r="Q13" s="901"/>
      <c r="R13" s="901"/>
      <c r="S13" s="901"/>
      <c r="T13" s="901"/>
      <c r="U13" s="294"/>
      <c r="AF13" s="306"/>
      <c r="AG13" s="306"/>
      <c r="AJ13" s="312"/>
      <c r="AK13" s="255" t="str">
        <f>HLOOKUP('4 Language'!$B$8,'4 Language'!$C$12:$H$307,26)</f>
        <v>Schneckenlänge / Schneckendurchmesser Verhältnis</v>
      </c>
      <c r="AL13" s="327"/>
      <c r="AM13" s="327"/>
      <c r="AN13" s="327"/>
      <c r="AO13" s="327"/>
      <c r="AP13" s="323">
        <f>'1 Injection molding 2K . 3K'!Z23</f>
        <v>0</v>
      </c>
      <c r="AQ13" s="324" t="s">
        <v>1773</v>
      </c>
      <c r="AR13" s="314"/>
      <c r="AS13" s="314"/>
      <c r="AT13" s="314"/>
      <c r="AU13" s="72"/>
      <c r="AV13" s="720" t="str" cm="1">
        <f t="array" ref="AV13">IF(AW13=J13,"Ü",IF(AW13=M13,"E",X))</f>
        <v>Ü</v>
      </c>
      <c r="AW13" s="721">
        <f t="shared" si="0"/>
        <v>0</v>
      </c>
      <c r="AX13" s="722"/>
      <c r="AY13" s="315"/>
    </row>
    <row r="14" spans="1:51" ht="19.5" customHeight="1" x14ac:dyDescent="0.2">
      <c r="B14" s="404" t="str">
        <f>HLOOKUP('4 Language'!$B$2,'4 Language'!$C$12:$H$307,190)</f>
        <v xml:space="preserve">L. zu D. Verhältnis Schnecke </v>
      </c>
      <c r="C14" s="465"/>
      <c r="D14" s="465"/>
      <c r="E14" s="465"/>
      <c r="F14" s="465"/>
      <c r="G14" s="465"/>
      <c r="H14" s="468"/>
      <c r="I14" s="466" t="s">
        <v>1742</v>
      </c>
      <c r="J14" s="870">
        <f t="shared" si="1"/>
        <v>0</v>
      </c>
      <c r="K14" s="870"/>
      <c r="L14" s="465"/>
      <c r="M14" s="867"/>
      <c r="N14" s="867"/>
      <c r="P14" s="902"/>
      <c r="Q14" s="902"/>
      <c r="R14" s="902"/>
      <c r="S14" s="902"/>
      <c r="T14" s="902"/>
      <c r="U14" s="293"/>
      <c r="V14" s="257" t="s">
        <v>1736</v>
      </c>
      <c r="W14" s="904" t="str">
        <f>IF(ISERROR(J36/J38*100),"--",J36/J38*100)</f>
        <v>--</v>
      </c>
      <c r="X14" s="904"/>
      <c r="Y14" s="256"/>
      <c r="Z14" s="278"/>
      <c r="AA14" s="266"/>
      <c r="AB14" s="904" t="str">
        <f>IF(ISERROR(AW36/AW38*100),"--",AW36/AW38*100)</f>
        <v>--</v>
      </c>
      <c r="AC14" s="904"/>
      <c r="AD14" s="256"/>
      <c r="AE14" s="278"/>
      <c r="AH14" s="437" t="s">
        <v>1814</v>
      </c>
      <c r="AJ14" s="312"/>
      <c r="AK14" s="255" t="str">
        <f>HLOOKUP('4 Language'!$B$8,'4 Language'!$C$12:$H$307,28)</f>
        <v>max. Plastifizierstrom der Maschine (Basis von  PS)</v>
      </c>
      <c r="AL14" s="329"/>
      <c r="AM14" s="329"/>
      <c r="AN14" s="330"/>
      <c r="AO14" s="330"/>
      <c r="AP14" s="323">
        <f>'1 Injection molding 2K . 3K'!Z24</f>
        <v>0</v>
      </c>
      <c r="AQ14" s="324" t="s">
        <v>1774</v>
      </c>
      <c r="AR14" s="314"/>
      <c r="AS14" s="314"/>
      <c r="AT14" s="314"/>
      <c r="AU14" s="72"/>
      <c r="AV14" s="720" t="str" cm="1">
        <f t="array" ref="AV14">IF(AW14=J14,"Ü",IF(AW14=M14,"E",X))</f>
        <v>Ü</v>
      </c>
      <c r="AW14" s="721">
        <f t="shared" si="0"/>
        <v>0</v>
      </c>
      <c r="AX14"/>
      <c r="AY14" s="315"/>
    </row>
    <row r="15" spans="1:51" ht="19.5" customHeight="1" x14ac:dyDescent="0.2">
      <c r="B15" s="404" t="str">
        <f>HLOOKUP('4 Language'!$B$2,'4 Language'!$C$12:$H$307,191)</f>
        <v>max. Plastifizierstrom Maschine</v>
      </c>
      <c r="C15" s="467"/>
      <c r="D15" s="467"/>
      <c r="E15" s="467"/>
      <c r="F15" s="467"/>
      <c r="G15" s="467"/>
      <c r="H15" s="468"/>
      <c r="I15" s="466" t="s">
        <v>1743</v>
      </c>
      <c r="J15" s="870">
        <f t="shared" si="1"/>
        <v>0</v>
      </c>
      <c r="K15" s="870"/>
      <c r="L15" s="465"/>
      <c r="M15" s="867"/>
      <c r="N15" s="867"/>
      <c r="P15" s="901" t="str">
        <f>HLOOKUP('4 Language'!$B$8,'4 Language'!$C$12:$H$307,212)&amp;"  max"</f>
        <v>Gewichtsverhältnis nachdruckfrei zu ausgedrückt  max</v>
      </c>
      <c r="Q15" s="901"/>
      <c r="R15" s="901"/>
      <c r="S15" s="901"/>
      <c r="T15" s="901"/>
      <c r="U15" s="294"/>
      <c r="AF15" s="306"/>
      <c r="AG15" s="306"/>
      <c r="AH15" s="438"/>
      <c r="AJ15" s="312"/>
      <c r="AK15" s="255" t="str">
        <f>HLOOKUP('4 Language'!$B$8,'4 Language'!$C$12:$H$307,29)</f>
        <v>Maximal mögliches Dosiervolumen</v>
      </c>
      <c r="AL15" s="329"/>
      <c r="AM15" s="329"/>
      <c r="AN15" s="330"/>
      <c r="AO15" s="330"/>
      <c r="AP15" s="331">
        <f>'1 Injection molding 2K . 3K'!Z25</f>
        <v>0</v>
      </c>
      <c r="AQ15" s="324" t="s">
        <v>1775</v>
      </c>
      <c r="AR15" s="314"/>
      <c r="AS15" s="314"/>
      <c r="AT15" s="332" t="s">
        <v>1777</v>
      </c>
      <c r="AU15" s="72"/>
      <c r="AV15" s="720" t="str" cm="1">
        <f t="array" ref="AV15">IF(AW15=J15,"Ü",IF(AW15=M15,"E",X))</f>
        <v>Ü</v>
      </c>
      <c r="AW15" s="721">
        <f t="shared" si="0"/>
        <v>0</v>
      </c>
      <c r="AX15"/>
      <c r="AY15" s="315"/>
    </row>
    <row r="16" spans="1:51" ht="19.5" customHeight="1" x14ac:dyDescent="0.2">
      <c r="B16" s="404" t="str">
        <f>HLOOKUP('4 Language'!$B$2,'4 Language'!$C$12:$H$307,29)</f>
        <v>Maximal mögliches Dosiervolumen</v>
      </c>
      <c r="C16" s="465"/>
      <c r="D16" s="465"/>
      <c r="E16" s="465"/>
      <c r="F16" s="465"/>
      <c r="G16" s="465"/>
      <c r="H16" s="468"/>
      <c r="I16" s="466" t="s">
        <v>1737</v>
      </c>
      <c r="J16" s="870">
        <f t="shared" si="1"/>
        <v>0</v>
      </c>
      <c r="K16" s="870"/>
      <c r="L16" s="470"/>
      <c r="M16" s="867"/>
      <c r="N16" s="867"/>
      <c r="P16" s="902"/>
      <c r="Q16" s="902"/>
      <c r="R16" s="902"/>
      <c r="S16" s="902"/>
      <c r="T16" s="902"/>
      <c r="U16" s="293"/>
      <c r="V16" s="257" t="s">
        <v>1736</v>
      </c>
      <c r="W16" s="904" t="str">
        <f>IF(ISERROR(J37/J39*100),"--",J37/J39*100)</f>
        <v>--</v>
      </c>
      <c r="X16" s="904"/>
      <c r="Y16" s="256"/>
      <c r="Z16" s="278"/>
      <c r="AA16" s="266"/>
      <c r="AB16" s="904" t="str">
        <f>IF(ISERROR(AW37/AW39*100),"--",AW37/AW39*100)</f>
        <v>--</v>
      </c>
      <c r="AC16" s="904"/>
      <c r="AD16" s="256"/>
      <c r="AE16" s="278"/>
      <c r="AH16" s="437" t="s">
        <v>1814</v>
      </c>
      <c r="AJ16" s="312"/>
      <c r="AK16" s="314"/>
      <c r="AL16" s="314"/>
      <c r="AM16" s="314"/>
      <c r="AN16" s="314"/>
      <c r="AO16" s="314"/>
      <c r="AP16" s="314"/>
      <c r="AQ16" s="314"/>
      <c r="AR16" s="314"/>
      <c r="AS16" s="314"/>
      <c r="AT16" s="333" t="str">
        <f>HLOOKUP('4 Language'!$B$8,'4 Language'!$C$12:$H$307,240)&amp;"  "</f>
        <v xml:space="preserve">druckabhängig  </v>
      </c>
      <c r="AU16" s="72"/>
      <c r="AV16" s="720" t="str" cm="1">
        <f t="array" ref="AV16">IF(AW16=J16,"Ü",IF(AW16=M16,"E",X))</f>
        <v>Ü</v>
      </c>
      <c r="AW16" s="721">
        <f t="shared" si="0"/>
        <v>0</v>
      </c>
      <c r="AX16" s="722"/>
      <c r="AY16" s="315"/>
    </row>
    <row r="17" spans="2:51" ht="19.5" customHeight="1" x14ac:dyDescent="0.2">
      <c r="B17" s="400" t="str">
        <f>HLOOKUP('4 Language'!$B$2,'4 Language'!$C$12:$H$307,30)</f>
        <v>Schußvolumen (berechnet)</v>
      </c>
      <c r="C17" s="463"/>
      <c r="D17" s="463"/>
      <c r="E17" s="463"/>
      <c r="F17" s="463"/>
      <c r="G17" s="463"/>
      <c r="H17" s="471"/>
      <c r="I17" s="464" t="s">
        <v>1737</v>
      </c>
      <c r="J17" s="905" t="str">
        <f>IF(ISERROR(J35/J34),"--",J35/J34)</f>
        <v>--</v>
      </c>
      <c r="K17" s="905"/>
      <c r="L17" s="473"/>
      <c r="M17" s="906" t="str">
        <f>IF(ISERROR(AW35/AW34),"--",AW35/AW34)</f>
        <v>--</v>
      </c>
      <c r="N17" s="906"/>
      <c r="O17" s="246"/>
      <c r="AF17" s="306"/>
      <c r="AG17" s="306"/>
      <c r="AJ17" s="312"/>
      <c r="AK17" s="72"/>
      <c r="AL17" s="72"/>
      <c r="AM17" s="72"/>
      <c r="AN17" s="72"/>
      <c r="AO17" s="72"/>
      <c r="AP17" s="72"/>
      <c r="AQ17" s="72"/>
      <c r="AR17" s="72"/>
      <c r="AS17" s="314"/>
      <c r="AT17" s="334" t="str">
        <f>HLOOKUP('4 Language'!$B$8,'4 Language'!$C$12:$H$307,241)&amp;"  "</f>
        <v xml:space="preserve">wegabhängig  </v>
      </c>
      <c r="AU17" s="72"/>
      <c r="AV17"/>
      <c r="AW17"/>
      <c r="AX17"/>
      <c r="AY17" s="315"/>
    </row>
    <row r="18" spans="2:51" ht="19.5" customHeight="1" x14ac:dyDescent="0.2">
      <c r="B18" s="400" t="str">
        <f>HLOOKUP('4 Language'!$B$2,'4 Language'!$C$12:$H$307,32)</f>
        <v>Dosierzeit (berechnet)</v>
      </c>
      <c r="C18" s="472"/>
      <c r="D18" s="472"/>
      <c r="E18" s="472"/>
      <c r="F18" s="472"/>
      <c r="G18" s="472"/>
      <c r="H18" s="471"/>
      <c r="I18" s="464" t="s">
        <v>1738</v>
      </c>
      <c r="J18" s="906" t="str">
        <f>IF(ISERROR(J17/(J15*J32/0.6)),"--",J17/(J15*J32/0.6))</f>
        <v>--</v>
      </c>
      <c r="K18" s="906"/>
      <c r="L18" s="473"/>
      <c r="M18" s="906" t="str">
        <f>IF(ISERROR(M17/(AW15*M32/0.6)),"--",M17/(AW15*M32/0.6))</f>
        <v>--</v>
      </c>
      <c r="N18" s="906"/>
      <c r="P18" s="255" t="str">
        <f>HLOOKUP('4 Language'!$B$8,'4 Language'!$C$12:$H$307,213)</f>
        <v>Massepolster [Volumen]</v>
      </c>
      <c r="Q18" s="256"/>
      <c r="R18" s="256"/>
      <c r="S18" s="256"/>
      <c r="T18" s="256"/>
      <c r="U18" s="256"/>
      <c r="V18" s="257" t="s">
        <v>1737</v>
      </c>
      <c r="W18" s="880">
        <f>IF(ISERROR(IF(AS27=4,J29,IF(AS27=5,(POWER(J13,2)*PI()/4*J29/1000),"--"))),"--",IF(AS27=4,J29,IF(AS27=5,(POWER(J13,2)*PI()/4*J29/1000),"--")))</f>
        <v>0</v>
      </c>
      <c r="X18" s="880"/>
      <c r="Y18" s="256"/>
      <c r="Z18" s="256"/>
      <c r="AA18" s="256"/>
      <c r="AB18" s="880" t="str">
        <f>IF(ISERROR(IF(AS29=2,AW29,IF(AS29=1,(POWER(AW13,2)*PI()/4*AW29/1000),"--"))),"--",IF(AS29=2,AW29,IF(AS29=1,(POWER(AW13,2)*PI()/4*AW29/1000),"--")))</f>
        <v>--</v>
      </c>
      <c r="AC18" s="880"/>
      <c r="AD18" s="266"/>
      <c r="AE18" s="256"/>
      <c r="AH18" s="70"/>
      <c r="AJ18" s="312"/>
      <c r="AK18" s="255" t="str">
        <f>HLOOKUP('4 Language'!$B$8,'4 Language'!$C$12:$H$307,33)</f>
        <v>Zykluszeit</v>
      </c>
      <c r="AL18" s="336"/>
      <c r="AM18" s="336"/>
      <c r="AN18" s="335"/>
      <c r="AO18" s="335"/>
      <c r="AP18" s="331">
        <f>'1 Injection molding 2K . 3K'!K13</f>
        <v>0</v>
      </c>
      <c r="AQ18" s="337" t="s">
        <v>1776</v>
      </c>
      <c r="AR18" s="314"/>
      <c r="AS18" s="314"/>
      <c r="AT18" s="334" t="str">
        <f>HLOOKUP('4 Language'!$B$8,'4 Language'!$C$12:$H$307,242)&amp;"  "</f>
        <v xml:space="preserve">volumenabhängig  </v>
      </c>
      <c r="AU18" s="72"/>
      <c r="AV18"/>
      <c r="AW18"/>
      <c r="AX18"/>
      <c r="AY18" s="315"/>
    </row>
    <row r="19" spans="2:51" ht="19.5" customHeight="1" x14ac:dyDescent="0.2">
      <c r="B19" s="404" t="str">
        <f>HLOOKUP('4 Language'!$B$2,'4 Language'!$C$12:$H$307,33)</f>
        <v>Zykluszeit</v>
      </c>
      <c r="C19" s="467"/>
      <c r="D19" s="467"/>
      <c r="E19" s="467"/>
      <c r="F19" s="467"/>
      <c r="G19" s="467"/>
      <c r="H19" s="467"/>
      <c r="I19" s="466" t="s">
        <v>1738</v>
      </c>
      <c r="J19" s="907">
        <f>AP18</f>
        <v>0</v>
      </c>
      <c r="K19" s="907"/>
      <c r="L19" s="473"/>
      <c r="M19" s="865"/>
      <c r="N19" s="865"/>
      <c r="P19" s="258" t="str">
        <f>IF(AS27=4,AT18,IF(AS27=5,AT17,AT19))</f>
        <v xml:space="preserve">wegabhängig  </v>
      </c>
      <c r="AF19" s="306"/>
      <c r="AG19" s="306"/>
      <c r="AJ19" s="312"/>
      <c r="AK19" s="338"/>
      <c r="AL19" s="339"/>
      <c r="AM19" s="339"/>
      <c r="AN19" s="340"/>
      <c r="AO19" s="340"/>
      <c r="AP19" s="340"/>
      <c r="AQ19" s="340"/>
      <c r="AR19" s="314"/>
      <c r="AS19" s="314"/>
      <c r="AT19" s="334" t="str">
        <f>HLOOKUP('4 Language'!$B$8,'4 Language'!$C$12:$H$307,243)&amp;"  "</f>
        <v xml:space="preserve">fehlende Auswahl  </v>
      </c>
      <c r="AU19" s="72"/>
      <c r="AV19" s="720" t="str" cm="1">
        <f t="array" ref="AV19">IF(AW19=J19,"Ü",IF(AW19=M19,"E",X))</f>
        <v>Ü</v>
      </c>
      <c r="AW19" s="721">
        <f t="shared" ref="AW19" si="2">IF(M19="",J19,M19)</f>
        <v>0</v>
      </c>
      <c r="AX19"/>
      <c r="AY19" s="315"/>
    </row>
    <row r="20" spans="2:51" ht="19.5" customHeight="1" x14ac:dyDescent="0.2">
      <c r="B20" s="404" t="str">
        <f>HLOOKUP('4 Language'!$B$2,'4 Language'!$C$12:$H$307,34)</f>
        <v>Verweilzeit (Näherungswert)</v>
      </c>
      <c r="C20" s="467"/>
      <c r="D20" s="467"/>
      <c r="E20" s="467"/>
      <c r="F20" s="467"/>
      <c r="G20" s="467"/>
      <c r="H20" s="467"/>
      <c r="I20" s="470" t="s">
        <v>1744</v>
      </c>
      <c r="J20" s="908" t="str">
        <f>IF(ISERROR((((((PI()/4*POWER(J13/10,2)*J14*J13/10)-J17)*0.3333)+J17)/J17)*J19/60),"--",(((((PI()/4*POWER(J13/10,2)*J14*J13/10)-J17)*0.3333)+J17)/J17)*J19/60)</f>
        <v>--</v>
      </c>
      <c r="K20" s="908"/>
      <c r="L20" s="473"/>
      <c r="M20" s="906" t="str">
        <f>IF(ISERROR((((((PI()/4*POWER(AW13/10,2)*AW14*AW13/10)-M17)*0.3333)+M17)/M17)*AW19/60),"--",(((((PI()/4*POWER(AW13/10,2)*AW14*AW13/10)-M17)*0.3333)+M17)/M17)*AW19/60)</f>
        <v>--</v>
      </c>
      <c r="N20" s="906"/>
      <c r="P20" s="255" t="str">
        <f>HLOOKUP('4 Language'!$B$8,'4 Language'!$C$12:$H$307,214)</f>
        <v>Massepolster [Weg]</v>
      </c>
      <c r="Q20" s="256"/>
      <c r="R20" s="256"/>
      <c r="S20" s="256"/>
      <c r="T20" s="256"/>
      <c r="U20" s="256"/>
      <c r="V20" s="257" t="s">
        <v>1734</v>
      </c>
      <c r="W20" s="880">
        <f>IF(ISERROR(IF(AS27=5,J29,IF(AS27=4,J29/(POWER(J13/10,2)*PI()/4)*10,"--"))),"--",IF(AS27=5,J29,IF(AS27=4,J29/(POWER(J13/10,2)*PI()/4)*10,"--")))</f>
        <v>0</v>
      </c>
      <c r="X20" s="880"/>
      <c r="Y20" s="256"/>
      <c r="Z20" s="278"/>
      <c r="AA20" s="266"/>
      <c r="AB20" s="880" t="str">
        <f>IF(ISERROR(IF(AS29=1,AW29,IF(AS29=2,AW29/(POWER(AW13/10,2)*PI()/4)*10,"--"))),"--",IF(AS29=1,AW29,IF(AS29=2,AW29/(POWER(AW13/10,2)*PI()/4)*10,"--")))</f>
        <v>--</v>
      </c>
      <c r="AC20" s="880"/>
      <c r="AD20" s="256"/>
      <c r="AE20" s="278"/>
      <c r="AH20" s="320" t="s">
        <v>1761</v>
      </c>
      <c r="AJ20" s="312"/>
      <c r="AK20" s="255" t="str">
        <f>HLOOKUP('4 Language'!$B$8,'4 Language'!$C$12:$H$307,35)</f>
        <v>Einspritzzeit (siehe "Prozessüberwachung")</v>
      </c>
      <c r="AL20" s="336"/>
      <c r="AM20" s="336"/>
      <c r="AN20" s="335"/>
      <c r="AO20" s="341">
        <f>'1 Injection molding 2K . 3K'!X35</f>
        <v>0</v>
      </c>
      <c r="AP20" s="342"/>
      <c r="AQ20" s="341">
        <f>'1 Injection molding 2K . 3K'!AA35</f>
        <v>0</v>
      </c>
      <c r="AR20" s="314"/>
      <c r="AS20" s="314"/>
      <c r="AT20" s="314"/>
      <c r="AU20" s="72"/>
      <c r="AV20"/>
      <c r="AW20"/>
      <c r="AX20"/>
      <c r="AY20" s="315"/>
    </row>
    <row r="21" spans="2:51" ht="19.5" customHeight="1" x14ac:dyDescent="0.2">
      <c r="B21" s="263" t="str">
        <f>HLOOKUP('4 Language'!$B$2,'4 Language'!$C$12:$H$307,287)</f>
        <v>Hinweis: Verweilzeitberechung hier unter Berücksichtigung des L/D Verhältnisses</v>
      </c>
      <c r="C21" s="399"/>
      <c r="D21" s="399"/>
      <c r="E21" s="399"/>
      <c r="F21" s="399"/>
      <c r="G21" s="399"/>
      <c r="H21" s="399"/>
      <c r="I21" s="469"/>
      <c r="J21" s="259"/>
      <c r="K21" s="259"/>
      <c r="L21" s="399"/>
      <c r="M21" s="259"/>
      <c r="N21" s="259"/>
      <c r="P21" s="258" t="str">
        <f>IF(AS27=4,AT18,IF(AS27=5,AT17,AT19))</f>
        <v xml:space="preserve">wegabhängig  </v>
      </c>
      <c r="AH21" s="70"/>
      <c r="AJ21" s="312"/>
      <c r="AK21" s="255" t="str">
        <f>HLOOKUP('4 Language'!$B$8,'4 Language'!$C$12:$H$307,36)</f>
        <v>Spezifischer Nachdruck (Profil)</v>
      </c>
      <c r="AL21" s="336"/>
      <c r="AM21" s="343"/>
      <c r="AN21" s="343"/>
      <c r="AO21" s="343"/>
      <c r="AP21" s="343"/>
      <c r="AQ21" s="343"/>
      <c r="AR21" s="314"/>
      <c r="AS21" s="314"/>
      <c r="AT21" s="314"/>
      <c r="AU21" s="72"/>
      <c r="AV21" s="314"/>
      <c r="AX21"/>
      <c r="AY21" s="315"/>
    </row>
    <row r="22" spans="2:51" ht="19.5" customHeight="1" x14ac:dyDescent="0.2">
      <c r="B22" s="400" t="str">
        <f>HLOOKUP('4 Language'!$B$2,'4 Language'!$C$12:$H$307,35)</f>
        <v>Einspritzzeit (siehe "Prozessüberwachung")</v>
      </c>
      <c r="C22" s="463"/>
      <c r="D22" s="463"/>
      <c r="E22" s="463"/>
      <c r="F22" s="463"/>
      <c r="G22" s="474"/>
      <c r="H22" s="475" t="s">
        <v>1745</v>
      </c>
      <c r="I22" s="476" t="s">
        <v>1746</v>
      </c>
      <c r="J22" s="477">
        <f>AO20</f>
        <v>0</v>
      </c>
      <c r="K22" s="478">
        <f>AQ20</f>
        <v>0</v>
      </c>
      <c r="L22" s="473"/>
      <c r="M22" s="260"/>
      <c r="N22" s="261"/>
      <c r="P22" s="255" t="str">
        <f>HLOOKUP('4 Language'!$B$8,'4 Language'!$C$12:$H$307,216)</f>
        <v>Nachdruckvolumen</v>
      </c>
      <c r="Q22" s="256"/>
      <c r="R22" s="256"/>
      <c r="S22" s="256"/>
      <c r="T22" s="256"/>
      <c r="U22" s="256"/>
      <c r="V22" s="257" t="s">
        <v>1737</v>
      </c>
      <c r="W22" s="880">
        <f>IF(ISERROR(IF(AS27=4,J27-J29,IF(AS27=5,(POWER(J13/10,2)*PI()/4)*((J27-J29)/10),"--"))),"--",IF(AS27=4,J27-J29,IF(AS27=5,(POWER(J13/10,2)*PI()/4)*((J27-J29)/10),"--")))</f>
        <v>0</v>
      </c>
      <c r="X22" s="880"/>
      <c r="Y22" s="256"/>
      <c r="Z22" s="278"/>
      <c r="AA22" s="266"/>
      <c r="AB22" s="880" t="str">
        <f>IF(ISERROR(IF(AS27=3,AW27-AW29,IF(AS27=2,(POWER(AW13/10,2)*PI()/4)*((AW27-AW29)/10),"--"))),"--",IF(AS27=3,AW27-AW29,IF(AS27=2,(POWER(AW13/10,2)*PI()/4)*((AW27-AW29)/10),"--")))</f>
        <v>--</v>
      </c>
      <c r="AC22" s="880"/>
      <c r="AD22" s="256"/>
      <c r="AE22" s="278"/>
      <c r="AH22" s="320" t="s">
        <v>1762</v>
      </c>
      <c r="AJ22" s="312"/>
      <c r="AK22" s="255" t="str">
        <f>HLOOKUP('4 Language'!$B$8,'4 Language'!$C$12:$H$307,37)</f>
        <v>Zeit</v>
      </c>
      <c r="AL22" s="262"/>
      <c r="AM22" s="394">
        <f>'1 Injection molding 2K . 3K'!Z43</f>
        <v>0</v>
      </c>
      <c r="AN22" s="394">
        <f>'1 Injection molding 2K . 3K'!Z44</f>
        <v>0</v>
      </c>
      <c r="AO22" s="395">
        <f>'1 Injection molding 2K . 3K'!Z45</f>
        <v>0</v>
      </c>
      <c r="AP22" s="395">
        <f>'1 Injection molding 2K . 3K'!Z46</f>
        <v>0</v>
      </c>
      <c r="AQ22" s="396">
        <f>'1 Injection molding 2K . 3K'!Z47</f>
        <v>0</v>
      </c>
      <c r="AR22" s="345" t="str">
        <f>"∑  "&amp;SUM(AM22:AQ22)</f>
        <v>∑  0</v>
      </c>
      <c r="AS22" s="346" t="b">
        <f>IF(AR22&gt;0,TRUE,FALSE)</f>
        <v>1</v>
      </c>
      <c r="AT22" s="314"/>
      <c r="AU22" s="72"/>
      <c r="AV22" s="720" t="str" cm="1">
        <f t="array" ref="AV22">IF(AW22=J22,"Ü",IF(AW22=M22,"E",X))</f>
        <v>Ü</v>
      </c>
      <c r="AW22" s="723">
        <f t="shared" ref="AW22:AX22" si="3">IF(M22="",J22,M22)</f>
        <v>0</v>
      </c>
      <c r="AX22" s="721">
        <f t="shared" si="3"/>
        <v>0</v>
      </c>
      <c r="AY22" s="315"/>
    </row>
    <row r="23" spans="2:51" ht="19.5" customHeight="1" x14ac:dyDescent="0.2">
      <c r="B23" s="404" t="str">
        <f>HLOOKUP('4 Language'!$B$2,'4 Language'!$C$12:$H$307,192)</f>
        <v>Nachdruckzeit (gesamt)</v>
      </c>
      <c r="C23" s="465"/>
      <c r="D23" s="465"/>
      <c r="E23" s="465"/>
      <c r="F23" s="465"/>
      <c r="G23" s="465"/>
      <c r="H23" s="465"/>
      <c r="I23" s="466" t="s">
        <v>1738</v>
      </c>
      <c r="J23" s="864">
        <f>MAX(SUM(AM22:AQ22),AP24)</f>
        <v>0</v>
      </c>
      <c r="K23" s="864"/>
      <c r="L23" s="470"/>
      <c r="M23" s="865"/>
      <c r="N23" s="865"/>
      <c r="P23" s="258" t="str">
        <f>IF(AS27=4,AT18,IF(AS27=5,AT17,AT19))</f>
        <v xml:space="preserve">wegabhängig  </v>
      </c>
      <c r="Q23" s="269"/>
      <c r="R23" s="269"/>
      <c r="S23" s="276"/>
      <c r="T23" s="276"/>
      <c r="U23" s="268"/>
      <c r="V23" s="276"/>
      <c r="W23" s="276"/>
      <c r="X23" s="279"/>
      <c r="Y23" s="279"/>
      <c r="Z23" s="279"/>
      <c r="AA23" s="279"/>
      <c r="AB23" s="279"/>
      <c r="AC23" s="279"/>
      <c r="AD23" s="279"/>
      <c r="AE23" s="279"/>
      <c r="AJ23" s="312"/>
      <c r="AK23" s="255" t="str">
        <f>HLOOKUP('4 Language'!$B$8,'4 Language'!$C$12:$H$307,38)</f>
        <v>Druck</v>
      </c>
      <c r="AL23" s="262"/>
      <c r="AM23" s="394">
        <f>'1 Injection molding 2K . 3K'!X43</f>
        <v>0</v>
      </c>
      <c r="AN23" s="394">
        <f>'1 Injection molding 2K . 3K'!X44</f>
        <v>0</v>
      </c>
      <c r="AO23" s="395">
        <f>'1 Injection molding 2K . 3K'!X45</f>
        <v>0</v>
      </c>
      <c r="AP23" s="395">
        <f>'1 Injection molding 2K . 3K'!X46</f>
        <v>0</v>
      </c>
      <c r="AQ23" s="396">
        <f>'1 Injection molding 2K . 3K'!X47</f>
        <v>0</v>
      </c>
      <c r="AR23" s="314"/>
      <c r="AS23" s="314"/>
      <c r="AT23" s="314"/>
      <c r="AU23" s="72"/>
      <c r="AV23" s="720" t="str" cm="1">
        <f t="array" ref="AV23">IF(AW23=J23,"Ü",IF(AW23=M23,"E",X))</f>
        <v>Ü</v>
      </c>
      <c r="AW23" s="721">
        <f>IF(M23="",J23,M23)</f>
        <v>0</v>
      </c>
      <c r="AX23"/>
      <c r="AY23" s="315"/>
    </row>
    <row r="24" spans="2:51" ht="19.5" customHeight="1" x14ac:dyDescent="0.2">
      <c r="B24" s="404" t="str">
        <f>HLOOKUP('4 Language'!$B$2,'4 Language'!$C$12:$H$307,193)</f>
        <v>Nachdruck (max)</v>
      </c>
      <c r="C24" s="465"/>
      <c r="D24" s="465"/>
      <c r="E24" s="465"/>
      <c r="F24" s="465"/>
      <c r="G24" s="465"/>
      <c r="H24" s="465"/>
      <c r="I24" s="466" t="s">
        <v>1747</v>
      </c>
      <c r="J24" s="870">
        <f>MAX(AM23:AQ23)</f>
        <v>0</v>
      </c>
      <c r="K24" s="870"/>
      <c r="L24" s="470"/>
      <c r="M24" s="877"/>
      <c r="N24" s="877"/>
      <c r="P24" s="881" t="str">
        <f>HLOOKUP('4 Language'!$B$8,'4 Language'!$C$12:$H$307,217)</f>
        <v>Verhältnis Nachdruckvolumen zu Schußvolumen</v>
      </c>
      <c r="Q24" s="881"/>
      <c r="R24" s="881"/>
      <c r="S24" s="881"/>
      <c r="T24" s="881"/>
      <c r="AH24" s="70"/>
      <c r="AJ24" s="312"/>
      <c r="AK24" s="255" t="str">
        <f>HLOOKUP('4 Language'!$B$8,'4 Language'!$C$12:$H$307,39)</f>
        <v>Nachdruckzeit</v>
      </c>
      <c r="AL24" s="347"/>
      <c r="AM24" s="347"/>
      <c r="AN24" s="348"/>
      <c r="AO24" s="349"/>
      <c r="AP24" s="344">
        <f>'1 Injection molding 2K . 3K'!Z48</f>
        <v>0</v>
      </c>
      <c r="AQ24" s="324" t="s">
        <v>1776</v>
      </c>
      <c r="AR24" s="314"/>
      <c r="AS24" s="350">
        <f>IF(AND(AR22=0,AP24=0),1,IF(AND(AR22=0,AP24&gt;0),2,IF(AND(AR22&gt;0,AP24=0),3,IF(AND(AR22&gt;0,AP24&gt;0,AR22=AP24),4,5))))</f>
        <v>3</v>
      </c>
      <c r="AT24" s="314"/>
      <c r="AU24" s="72"/>
      <c r="AV24" s="720"/>
      <c r="AW24" s="721">
        <f>IF(M24="",J24,M24)</f>
        <v>0</v>
      </c>
      <c r="AX24"/>
      <c r="AY24" s="315"/>
    </row>
    <row r="25" spans="2:51" ht="19.5" customHeight="1" x14ac:dyDescent="0.2">
      <c r="B25" s="404" t="str">
        <f>HLOOKUP('4 Language'!$B$8,'4 Language'!$C$12:$H$307,41)</f>
        <v>Siegelzeit</v>
      </c>
      <c r="C25" s="465"/>
      <c r="D25" s="465"/>
      <c r="E25" s="465"/>
      <c r="F25" s="465"/>
      <c r="G25" s="465"/>
      <c r="H25" s="465"/>
      <c r="I25" s="466" t="s">
        <v>1738</v>
      </c>
      <c r="J25" s="864">
        <f>AP25</f>
        <v>0</v>
      </c>
      <c r="K25" s="864"/>
      <c r="L25" s="470"/>
      <c r="M25" s="865"/>
      <c r="N25" s="865"/>
      <c r="P25" s="882"/>
      <c r="Q25" s="882"/>
      <c r="R25" s="882"/>
      <c r="S25" s="882"/>
      <c r="T25" s="882"/>
      <c r="U25" s="256"/>
      <c r="V25" s="257" t="s">
        <v>1736</v>
      </c>
      <c r="W25" s="880" t="str">
        <f>IF(ISERROR(W22/J17*100),"--",W22/J17*100)</f>
        <v>--</v>
      </c>
      <c r="X25" s="880"/>
      <c r="Y25" s="256"/>
      <c r="Z25" s="256"/>
      <c r="AA25" s="256"/>
      <c r="AB25" s="880" t="str">
        <f>IF(ISERROR(AB22/M17*100),"--",AB22/M17*100)</f>
        <v>--</v>
      </c>
      <c r="AC25" s="880"/>
      <c r="AD25" s="256"/>
      <c r="AE25" s="256"/>
      <c r="AF25" s="306"/>
      <c r="AG25" s="306"/>
      <c r="AJ25" s="312"/>
      <c r="AK25" s="321" t="str">
        <f>HLOOKUP('4 Language'!$B$8,'4 Language'!$C$12:$H$307,41)</f>
        <v>Siegelzeit</v>
      </c>
      <c r="AL25" s="351"/>
      <c r="AM25" s="351"/>
      <c r="AN25" s="351"/>
      <c r="AO25" s="351"/>
      <c r="AP25" s="344">
        <f>'1 Injection molding 2K . 3K'!Z52</f>
        <v>0</v>
      </c>
      <c r="AQ25" s="324" t="s">
        <v>1776</v>
      </c>
      <c r="AR25" s="314"/>
      <c r="AS25" s="314"/>
      <c r="AT25" s="314"/>
      <c r="AU25" s="72"/>
      <c r="AV25" s="720"/>
      <c r="AW25" s="721">
        <f t="shared" ref="AW25:AW27" si="4">IF(M25="",J25,M25)</f>
        <v>0</v>
      </c>
      <c r="AX25"/>
      <c r="AY25" s="315"/>
    </row>
    <row r="26" spans="2:51" ht="19.5" customHeight="1" x14ac:dyDescent="0.2">
      <c r="B26" s="404" t="str">
        <f>HLOOKUP('4 Language'!$B$2,'4 Language'!$C$12:$H$307,42)</f>
        <v>Restkühlzeit</v>
      </c>
      <c r="C26" s="465"/>
      <c r="D26" s="465"/>
      <c r="E26" s="465"/>
      <c r="F26" s="465"/>
      <c r="G26" s="465"/>
      <c r="H26" s="465"/>
      <c r="I26" s="466" t="s">
        <v>1738</v>
      </c>
      <c r="J26" s="864">
        <f>AP26</f>
        <v>0</v>
      </c>
      <c r="K26" s="864"/>
      <c r="L26" s="470"/>
      <c r="M26" s="865"/>
      <c r="N26" s="865"/>
      <c r="P26" s="881" t="str">
        <f>HLOOKUP('4 Language'!$B$8,'4 Language'!$C$12:$H$307,218)</f>
        <v>Differenz der angegebenen Zeiten zum Gesamtzyklus</v>
      </c>
      <c r="Q26" s="881"/>
      <c r="R26" s="881"/>
      <c r="S26" s="881"/>
      <c r="T26" s="881"/>
      <c r="AH26" s="70"/>
      <c r="AJ26" s="312"/>
      <c r="AK26" s="321" t="str">
        <f>HLOOKUP('4 Language'!$B$8,'4 Language'!$C$12:$H$307,42)</f>
        <v>Restkühlzeit</v>
      </c>
      <c r="AL26" s="352"/>
      <c r="AM26" s="352"/>
      <c r="AN26" s="352"/>
      <c r="AO26" s="352"/>
      <c r="AP26" s="344">
        <f>'1 Injection molding 2K . 3K'!Z53</f>
        <v>0</v>
      </c>
      <c r="AQ26" s="324" t="s">
        <v>1776</v>
      </c>
      <c r="AR26" s="314"/>
      <c r="AS26" s="314"/>
      <c r="AT26" s="353"/>
      <c r="AU26" s="72"/>
      <c r="AV26" s="720" t="str" cm="1">
        <f t="array" ref="AV26">IF(AW26=J26,"Ü",IF(AW26=M26,"E",X))</f>
        <v>Ü</v>
      </c>
      <c r="AW26" s="721">
        <f t="shared" si="4"/>
        <v>0</v>
      </c>
      <c r="AX26"/>
      <c r="AY26" s="315"/>
    </row>
    <row r="27" spans="2:51" ht="19.5" customHeight="1" x14ac:dyDescent="0.2">
      <c r="B27" s="404" t="str">
        <f>HLOOKUP('4 Language'!$B$2,'4 Language'!$C$12:$H$307,47)</f>
        <v xml:space="preserve">Umschaltpunkt </v>
      </c>
      <c r="C27" s="465"/>
      <c r="D27" s="465"/>
      <c r="E27" s="465"/>
      <c r="F27" s="465"/>
      <c r="G27" s="465"/>
      <c r="H27" s="479"/>
      <c r="I27" s="466" t="str">
        <f>"["&amp;IF(AS27=3,"bar",IF(AS27=5,"mm",IF(AS27=4,"cm³"," --")))&amp;"] "</f>
        <v xml:space="preserve">[mm] </v>
      </c>
      <c r="J27" s="864">
        <f>AP28</f>
        <v>0</v>
      </c>
      <c r="K27" s="864"/>
      <c r="L27" s="470"/>
      <c r="M27" s="903"/>
      <c r="N27" s="903"/>
      <c r="P27" s="882"/>
      <c r="Q27" s="882"/>
      <c r="R27" s="882"/>
      <c r="S27" s="882"/>
      <c r="T27" s="882"/>
      <c r="U27" s="256"/>
      <c r="V27" s="257" t="s">
        <v>1738</v>
      </c>
      <c r="W27" s="880">
        <f>IF(ISERROR(J19-(J22+J23+J26+$AP$43)),"--",J19-(J22+J23+J26+$AP$43))</f>
        <v>0</v>
      </c>
      <c r="X27" s="880"/>
      <c r="Y27" s="256"/>
      <c r="Z27" s="256"/>
      <c r="AA27" s="256"/>
      <c r="AB27" s="880">
        <f>IF(ISERROR(AW19-(AW22+AW23+AW26+$AP$43)),"--",AW19-(AW22+AW23+AW26+$AP$43))</f>
        <v>0</v>
      </c>
      <c r="AC27" s="880"/>
      <c r="AD27" s="256"/>
      <c r="AE27" s="256"/>
      <c r="AH27" s="70"/>
      <c r="AJ27" s="312"/>
      <c r="AK27" s="429" t="str">
        <f>IF(OR(AS27=1,AS27=2),"Keine Berechnung möglich bei Fehleingabe oder Auswahl -druckabhängig- !","")</f>
        <v/>
      </c>
      <c r="AL27" s="314"/>
      <c r="AM27" s="314"/>
      <c r="AN27" s="314"/>
      <c r="AO27" s="354"/>
      <c r="AP27" s="355"/>
      <c r="AQ27" s="355"/>
      <c r="AR27" s="314"/>
      <c r="AS27" s="350">
        <f>'1 Injection molding 2K . 3K'!AI21</f>
        <v>5</v>
      </c>
      <c r="AT27" s="353"/>
      <c r="AU27" s="72"/>
      <c r="AV27" s="720"/>
      <c r="AW27" s="721">
        <f t="shared" si="4"/>
        <v>0</v>
      </c>
      <c r="AX27"/>
      <c r="AY27" s="315"/>
    </row>
    <row r="28" spans="2:51" ht="19.5" customHeight="1" x14ac:dyDescent="0.2">
      <c r="B28" s="263" t="str">
        <f>AO28</f>
        <v xml:space="preserve">wegabhängig  </v>
      </c>
      <c r="P28" s="881" t="str">
        <f>HLOOKUP('4 Language'!$B$8,'4 Language'!$C$12:$H$307,219)</f>
        <v>Differenz zwischen Restkühlzeit und Dosierzeit</v>
      </c>
      <c r="Q28" s="881"/>
      <c r="R28" s="881"/>
      <c r="S28" s="881"/>
      <c r="T28" s="881"/>
      <c r="AH28" s="70"/>
      <c r="AJ28" s="312"/>
      <c r="AK28" s="400" t="str">
        <f>HLOOKUP('4 Language'!$B$8,'4 Language'!$C$12:$H$307,43)</f>
        <v xml:space="preserve">Umschaltung abhängig von </v>
      </c>
      <c r="AL28" s="401"/>
      <c r="AM28" s="401"/>
      <c r="AN28" s="401"/>
      <c r="AO28" s="430" t="str">
        <f>IF(AS27=1,AT19,IF(AS27=2,AT19,IF(AS27=3,AT16,IF(AS27=4,AT18,AT17))))</f>
        <v xml:space="preserve">wegabhängig  </v>
      </c>
      <c r="AP28" s="402">
        <f>'1 Injection molding 2K . 3K'!Z39</f>
        <v>0</v>
      </c>
      <c r="AQ28" s="431" t="str">
        <f>IF(AS27=3," [bar]",IF(AS27=5," [mm]",IF(AS27=4," [cm³]"," --")))</f>
        <v xml:space="preserve"> [mm]</v>
      </c>
      <c r="AR28" s="314"/>
      <c r="AS28" s="314"/>
      <c r="AT28" s="353"/>
      <c r="AU28" s="72"/>
      <c r="AV28" s="314"/>
      <c r="AX28"/>
      <c r="AY28" s="315"/>
    </row>
    <row r="29" spans="2:51" ht="19.5" customHeight="1" x14ac:dyDescent="0.2">
      <c r="B29" s="400" t="str">
        <f>HLOOKUP('4 Language'!$B$2,'4 Language'!$C$12:$H$307,49)</f>
        <v>Massepolster (siehe "Prozessüberwachung")</v>
      </c>
      <c r="C29" s="463"/>
      <c r="D29" s="463"/>
      <c r="E29" s="463"/>
      <c r="F29" s="463"/>
      <c r="G29" s="474"/>
      <c r="H29" s="473" t="s">
        <v>1748</v>
      </c>
      <c r="I29" s="476" t="s">
        <v>1746</v>
      </c>
      <c r="J29" s="477">
        <f>AO29</f>
        <v>0</v>
      </c>
      <c r="K29" s="478">
        <f>AQ29</f>
        <v>0</v>
      </c>
      <c r="L29" s="473"/>
      <c r="M29" s="264"/>
      <c r="N29" s="265"/>
      <c r="P29" s="882"/>
      <c r="Q29" s="882"/>
      <c r="R29" s="882"/>
      <c r="S29" s="882"/>
      <c r="T29" s="882"/>
      <c r="U29" s="256"/>
      <c r="V29" s="257" t="s">
        <v>1738</v>
      </c>
      <c r="W29" s="880" t="str">
        <f>IF(ISERROR(J26-J18),"--",J26-J18)</f>
        <v>--</v>
      </c>
      <c r="X29" s="880"/>
      <c r="Y29" s="256"/>
      <c r="Z29" s="280"/>
      <c r="AA29" s="256"/>
      <c r="AB29" s="880" t="str">
        <f>IF(ISERROR(AW26-M18),"--",AW26-M18)</f>
        <v>--</v>
      </c>
      <c r="AC29" s="880"/>
      <c r="AD29" s="266"/>
      <c r="AE29" s="280"/>
      <c r="AH29" s="320" t="s">
        <v>1763</v>
      </c>
      <c r="AJ29" s="312"/>
      <c r="AK29" s="400" t="str">
        <f>HLOOKUP('4 Language'!$B$8,'4 Language'!$C$12:$H$307,48)</f>
        <v>Massepolster abhängig von</v>
      </c>
      <c r="AL29" s="401"/>
      <c r="AM29" s="401"/>
      <c r="AN29" s="430" t="str">
        <f>IF(AS27=1,AT19,IF(AS27=2,AT19,IF(AS27=3,AT16,IF(AS27=4,AT18,AT17))))</f>
        <v xml:space="preserve">wegabhängig  </v>
      </c>
      <c r="AO29" s="403">
        <f>'1 Injection molding 2K . 3K'!X40</f>
        <v>0</v>
      </c>
      <c r="AP29" s="431" t="str">
        <f>IF(AS27=5," [mm]",IF(AS27=4," [cm³]"," --"))</f>
        <v xml:space="preserve"> [mm]</v>
      </c>
      <c r="AQ29" s="403">
        <f>'1 Injection molding 2K . 3K'!Z40</f>
        <v>0</v>
      </c>
      <c r="AR29" s="314"/>
      <c r="AS29" s="314"/>
      <c r="AT29" s="353"/>
      <c r="AU29" s="72"/>
      <c r="AV29" s="720" t="str" cm="1">
        <f t="array" ref="AV29">IF(AW29=J29,"Ü",IF(AW29=M29,"E",X))</f>
        <v>Ü</v>
      </c>
      <c r="AW29" s="721">
        <f t="shared" ref="AW29:AX29" si="5">IF(M29="",J29,M29)</f>
        <v>0</v>
      </c>
      <c r="AX29" s="721">
        <f t="shared" si="5"/>
        <v>0</v>
      </c>
      <c r="AY29" s="315"/>
    </row>
    <row r="30" spans="2:51" ht="19.5" customHeight="1" x14ac:dyDescent="0.2">
      <c r="B30" s="404" t="str">
        <f>HLOOKUP('4 Language'!$B$2,'4 Language'!$C$12:$H$307,50)</f>
        <v>Staudruck (spezifisch)</v>
      </c>
      <c r="C30" s="465"/>
      <c r="D30" s="465"/>
      <c r="E30" s="465"/>
      <c r="F30" s="465"/>
      <c r="G30" s="465"/>
      <c r="H30" s="465"/>
      <c r="I30" s="470" t="s">
        <v>1749</v>
      </c>
      <c r="J30" s="864">
        <f>AP30</f>
        <v>0</v>
      </c>
      <c r="K30" s="864"/>
      <c r="L30" s="470"/>
      <c r="M30" s="875"/>
      <c r="N30" s="875"/>
      <c r="P30" s="881" t="str">
        <f>HLOOKUP('4 Language'!$B$8,'4 Language'!$C$12:$H$307,220)</f>
        <v>Differenz zwischen Nachdruck- und Siegelzeit</v>
      </c>
      <c r="Q30" s="881"/>
      <c r="R30" s="881"/>
      <c r="S30" s="881"/>
      <c r="T30" s="881"/>
      <c r="AH30" s="70"/>
      <c r="AJ30" s="312"/>
      <c r="AK30" s="400" t="str">
        <f>HLOOKUP('4 Language'!$B$8,'4 Language'!$C$12:$H$307,50)</f>
        <v>Staudruck (spezifisch)</v>
      </c>
      <c r="AL30" s="405"/>
      <c r="AM30" s="405"/>
      <c r="AN30" s="405"/>
      <c r="AO30" s="405"/>
      <c r="AP30" s="411">
        <f>'1 Injection molding 2K . 3K'!T32</f>
        <v>0</v>
      </c>
      <c r="AQ30" s="324" t="s">
        <v>1783</v>
      </c>
      <c r="AR30" s="314"/>
      <c r="AS30" s="314"/>
      <c r="AT30" s="353"/>
      <c r="AU30" s="72"/>
      <c r="AV30" s="72"/>
      <c r="AW30" s="72"/>
      <c r="AX30"/>
      <c r="AY30" s="315"/>
    </row>
    <row r="31" spans="2:51" ht="19.5" customHeight="1" x14ac:dyDescent="0.2">
      <c r="B31" s="404" t="str">
        <f>HLOOKUP('4 Language'!$B$2,'4 Language'!$C$12:$H$307,51)</f>
        <v>Schneckendrehzahl</v>
      </c>
      <c r="C31" s="465"/>
      <c r="D31" s="465"/>
      <c r="E31" s="465"/>
      <c r="F31" s="465"/>
      <c r="G31" s="465"/>
      <c r="H31" s="465"/>
      <c r="I31" s="466" t="s">
        <v>1778</v>
      </c>
      <c r="J31" s="870">
        <f>AP31</f>
        <v>0</v>
      </c>
      <c r="K31" s="870"/>
      <c r="L31" s="470"/>
      <c r="M31" s="875"/>
      <c r="N31" s="875"/>
      <c r="P31" s="882"/>
      <c r="Q31" s="882"/>
      <c r="R31" s="882"/>
      <c r="S31" s="882"/>
      <c r="T31" s="882"/>
      <c r="U31" s="256"/>
      <c r="V31" s="257" t="s">
        <v>1738</v>
      </c>
      <c r="W31" s="880">
        <f>J23-J25</f>
        <v>0</v>
      </c>
      <c r="X31" s="880"/>
      <c r="Y31" s="256"/>
      <c r="Z31" s="280"/>
      <c r="AA31" s="256"/>
      <c r="AB31" s="880">
        <f>AW23-AW25</f>
        <v>0</v>
      </c>
      <c r="AC31" s="880"/>
      <c r="AD31" s="266"/>
      <c r="AE31" s="280"/>
      <c r="AF31" s="306"/>
      <c r="AG31" s="306"/>
      <c r="AH31" s="320" t="s">
        <v>1764</v>
      </c>
      <c r="AJ31" s="312"/>
      <c r="AK31" s="400" t="str">
        <f>HLOOKUP('4 Language'!$B$8,'4 Language'!$C$12:$H$307,51)</f>
        <v>Schneckendrehzahl</v>
      </c>
      <c r="AL31" s="405"/>
      <c r="AM31" s="405"/>
      <c r="AN31" s="405"/>
      <c r="AO31" s="413">
        <f>'1 Injection molding 2K . 3K'!X28</f>
        <v>0</v>
      </c>
      <c r="AP31" s="344">
        <f>'1 Injection molding 2K . 3K'!Z28</f>
        <v>0</v>
      </c>
      <c r="AQ31" s="324" t="s">
        <v>1786</v>
      </c>
      <c r="AR31" s="314"/>
      <c r="AS31" s="314"/>
      <c r="AT31" s="314"/>
      <c r="AU31" s="72"/>
      <c r="AV31" s="720" t="str" cm="1">
        <f t="array" ref="AV31">IF(AW31=J31,"Ü",IF(AW31=M31,"E",X))</f>
        <v>Ü</v>
      </c>
      <c r="AW31" s="721">
        <f t="shared" ref="AW31:AW32" si="6">IF(M31="",J31,M31)</f>
        <v>0</v>
      </c>
      <c r="AX31"/>
      <c r="AY31" s="315"/>
    </row>
    <row r="32" spans="2:51" ht="19.5" customHeight="1" x14ac:dyDescent="0.2">
      <c r="B32" s="400" t="str">
        <f>HLOOKUP('4 Language'!$B$2,'4 Language'!$C$12:$H$307,53)</f>
        <v>Dosiergeschwindigkeit</v>
      </c>
      <c r="C32" s="463"/>
      <c r="D32" s="463"/>
      <c r="E32" s="463"/>
      <c r="F32" s="463"/>
      <c r="G32" s="482"/>
      <c r="H32" s="463"/>
      <c r="I32" s="464" t="s">
        <v>1750</v>
      </c>
      <c r="J32" s="887">
        <f>IF(ISERROR((J13*PI())*J31*0.00001666),"--",(J13*PI())*J31*0.00001666)</f>
        <v>0</v>
      </c>
      <c r="K32" s="887"/>
      <c r="L32" s="473"/>
      <c r="M32" s="888">
        <f>IF(ISERROR((AW13*PI())*AW31*0.00001666),"--",(AW13*PI())*AW31*0.00001666)</f>
        <v>0</v>
      </c>
      <c r="N32" s="888"/>
      <c r="P32" s="881" t="str">
        <f>HLOOKUP('4 Language'!$B$8,'4 Language'!$C$12:$H$307,221)&amp;"  [+/-]"</f>
        <v>Verhältnis Einspritzzeit zur angegebenen Toleranz  [+/-]</v>
      </c>
      <c r="Q32" s="881"/>
      <c r="R32" s="881"/>
      <c r="S32" s="881"/>
      <c r="T32" s="881"/>
      <c r="AJ32" s="312"/>
      <c r="AK32" s="398"/>
      <c r="AL32" s="72"/>
      <c r="AM32" s="72"/>
      <c r="AN32" s="314"/>
      <c r="AO32" s="314"/>
      <c r="AP32" s="314"/>
      <c r="AQ32" s="399"/>
      <c r="AR32" s="314"/>
      <c r="AS32" s="314"/>
      <c r="AT32" s="314"/>
      <c r="AU32" s="72"/>
      <c r="AV32" s="72"/>
      <c r="AW32" s="721">
        <f t="shared" si="6"/>
        <v>0</v>
      </c>
      <c r="AX32"/>
      <c r="AY32" s="315"/>
    </row>
    <row r="33" spans="2:51" ht="19.5" customHeight="1" x14ac:dyDescent="0.2">
      <c r="B33" s="400" t="str">
        <f>HLOOKUP('4 Language'!$B$2,'4 Language'!$C$12:$H$307,81)</f>
        <v>Dichte (Feststoff)</v>
      </c>
      <c r="C33" s="463"/>
      <c r="D33" s="463"/>
      <c r="E33" s="463"/>
      <c r="F33" s="463"/>
      <c r="G33" s="463"/>
      <c r="H33" s="463"/>
      <c r="I33" s="464" t="s">
        <v>1751</v>
      </c>
      <c r="J33" s="871" t="str">
        <f t="shared" ref="J33:J42" si="7">AP33</f>
        <v>select</v>
      </c>
      <c r="K33" s="871"/>
      <c r="L33" s="473"/>
      <c r="M33" s="872"/>
      <c r="N33" s="872"/>
      <c r="P33" s="882"/>
      <c r="Q33" s="882"/>
      <c r="R33" s="882"/>
      <c r="S33" s="882"/>
      <c r="T33" s="882"/>
      <c r="U33" s="256"/>
      <c r="V33" s="257" t="s">
        <v>1736</v>
      </c>
      <c r="W33" s="880" t="str">
        <f>IF(ISERROR(K22/J22*100),"--",K22/J22*100)</f>
        <v>--</v>
      </c>
      <c r="X33" s="880"/>
      <c r="Y33" s="266"/>
      <c r="Z33" s="280"/>
      <c r="AA33" s="266"/>
      <c r="AB33" s="880" t="str">
        <f>IF(ISERROR(AX22/AW22*100),"--",AX22/AW22*100)</f>
        <v>--</v>
      </c>
      <c r="AC33" s="880"/>
      <c r="AD33" s="266"/>
      <c r="AE33" s="280"/>
      <c r="AH33" s="320" t="s">
        <v>1765</v>
      </c>
      <c r="AJ33" s="312"/>
      <c r="AK33" s="400" t="str">
        <f>HLOOKUP('4 Language'!$B$8,'4 Language'!$C$12:$H$307,81)</f>
        <v>Dichte (Feststoff)</v>
      </c>
      <c r="AL33" s="406"/>
      <c r="AM33" s="406"/>
      <c r="AN33" s="400"/>
      <c r="AO33" s="407"/>
      <c r="AP33" s="412" t="str">
        <f>'1 Injection molding 2K . 3K'!AN20</f>
        <v>select</v>
      </c>
      <c r="AQ33" s="319" t="s">
        <v>1784</v>
      </c>
      <c r="AR33" s="314"/>
      <c r="AS33" s="314"/>
      <c r="AT33" s="314"/>
      <c r="AU33" s="72"/>
      <c r="AV33" s="72"/>
      <c r="AW33" s="72"/>
      <c r="AX33"/>
      <c r="AY33" s="315"/>
    </row>
    <row r="34" spans="2:51" ht="19.5" customHeight="1" x14ac:dyDescent="0.2">
      <c r="B34" s="404" t="str">
        <f>HLOOKUP('4 Language'!$B$2,'4 Language'!$C$12:$H$307,194)</f>
        <v>Schmelzedichte (Auswahl)</v>
      </c>
      <c r="C34" s="465"/>
      <c r="D34" s="465"/>
      <c r="E34" s="465"/>
      <c r="F34" s="465"/>
      <c r="G34" s="465"/>
      <c r="H34" s="465"/>
      <c r="I34" s="466" t="s">
        <v>1751</v>
      </c>
      <c r="J34" s="873" t="str">
        <f t="shared" si="7"/>
        <v>select</v>
      </c>
      <c r="K34" s="873"/>
      <c r="L34" s="470"/>
      <c r="M34" s="874"/>
      <c r="N34" s="874"/>
      <c r="P34" s="881" t="str">
        <f>HLOOKUP('4 Language'!$B$8,'4 Language'!$C$12:$H$307,222)&amp;"  [+/-]"</f>
        <v>Verhältnis Massepolster zur angegebenen Toleranz  [+/-]</v>
      </c>
      <c r="Q34" s="881"/>
      <c r="R34" s="881"/>
      <c r="S34" s="881"/>
      <c r="T34" s="881"/>
      <c r="AH34" s="70"/>
      <c r="AJ34" s="312"/>
      <c r="AK34" s="400" t="str">
        <f>HLOOKUP('4 Language'!$B$8,'4 Language'!$C$12:$H$307,82)</f>
        <v>Dichte (Schmelze) über Auswahl "Rohstofftyp"</v>
      </c>
      <c r="AL34" s="408"/>
      <c r="AM34" s="408"/>
      <c r="AN34" s="404"/>
      <c r="AO34" s="409"/>
      <c r="AP34" s="328" t="str">
        <f>'1 Injection molding 2K . 3K'!AM20</f>
        <v>select</v>
      </c>
      <c r="AQ34" s="324" t="s">
        <v>1784</v>
      </c>
      <c r="AR34" s="314"/>
      <c r="AS34" s="314"/>
      <c r="AT34" s="314"/>
      <c r="AU34" s="72"/>
      <c r="AV34" s="720" t="str" cm="1">
        <f t="array" ref="AV34">IF(AW34=J34,"Ü",IF(AW34=M34,"E",X))</f>
        <v>Ü</v>
      </c>
      <c r="AW34" s="723" t="str">
        <f t="shared" ref="AW34:AW37" si="8">IF(M34="",J34,M34)</f>
        <v>select</v>
      </c>
      <c r="AX34"/>
      <c r="AY34" s="315"/>
    </row>
    <row r="35" spans="2:51" ht="19.5" customHeight="1" x14ac:dyDescent="0.2">
      <c r="B35" s="404" t="str">
        <f>HLOOKUP('4 Language'!$B$2,'4 Language'!$C$12:$H$307,74)</f>
        <v>Schussgewicht  FS / EMPB   [inkl. Anguss]</v>
      </c>
      <c r="C35" s="465"/>
      <c r="D35" s="465"/>
      <c r="E35" s="465"/>
      <c r="F35" s="465"/>
      <c r="G35" s="465"/>
      <c r="H35" s="465"/>
      <c r="I35" s="466" t="s">
        <v>1752</v>
      </c>
      <c r="J35" s="864">
        <f t="shared" si="7"/>
        <v>0</v>
      </c>
      <c r="K35" s="864"/>
      <c r="L35" s="470"/>
      <c r="M35" s="865"/>
      <c r="N35" s="865"/>
      <c r="P35" s="882"/>
      <c r="Q35" s="882"/>
      <c r="R35" s="882"/>
      <c r="S35" s="882"/>
      <c r="T35" s="882"/>
      <c r="U35" s="256"/>
      <c r="V35" s="257" t="s">
        <v>1736</v>
      </c>
      <c r="W35" s="880" t="str">
        <f>IF(ISERROR(K29/J29*100),"--",K29/J29*100)</f>
        <v>--</v>
      </c>
      <c r="X35" s="880"/>
      <c r="Y35" s="281"/>
      <c r="Z35" s="280"/>
      <c r="AA35" s="281"/>
      <c r="AB35" s="880" t="str">
        <f>IF(ISERROR(AX29/AW29*100),"--",AX29/AW29*100)</f>
        <v>--</v>
      </c>
      <c r="AC35" s="880"/>
      <c r="AD35" s="266"/>
      <c r="AE35" s="280"/>
      <c r="AF35" s="306"/>
      <c r="AG35" s="306"/>
      <c r="AH35" s="320" t="s">
        <v>1766</v>
      </c>
      <c r="AJ35" s="312"/>
      <c r="AK35" s="400" t="str">
        <f>HLOOKUP('4 Language'!$B$8,'4 Language'!$C$12:$H$307,74)</f>
        <v>Schussgewicht  FS / EMPB   [inkl. Anguss]</v>
      </c>
      <c r="AL35" s="410"/>
      <c r="AM35" s="410"/>
      <c r="AN35" s="410"/>
      <c r="AO35" s="410"/>
      <c r="AP35" s="328">
        <f>'1 Injection molding 2K . 3K'!Z21</f>
        <v>0</v>
      </c>
      <c r="AQ35" s="324" t="s">
        <v>1785</v>
      </c>
      <c r="AR35" s="314"/>
      <c r="AS35" s="314"/>
      <c r="AT35" s="314"/>
      <c r="AU35" s="72"/>
      <c r="AV35" s="720" t="str" cm="1">
        <f t="array" ref="AV35">IF(AW35=J35,"Ü",IF(AW35=M35,"E",X))</f>
        <v>Ü</v>
      </c>
      <c r="AW35" s="721">
        <f t="shared" si="8"/>
        <v>0</v>
      </c>
      <c r="AX35"/>
      <c r="AY35" s="315"/>
    </row>
    <row r="36" spans="2:51" ht="19.5" customHeight="1" x14ac:dyDescent="0.2">
      <c r="B36" s="480" t="str">
        <f>HLOOKUP('4 Language'!$B$2,'4 Language'!$C$12:$H$307,196)</f>
        <v>Teilegewicht ohne Nachdruck</v>
      </c>
      <c r="C36" s="481"/>
      <c r="D36" s="481"/>
      <c r="E36" s="481"/>
      <c r="F36" s="481"/>
      <c r="G36" s="481"/>
      <c r="H36" s="480" t="s">
        <v>1753</v>
      </c>
      <c r="I36" s="466" t="s">
        <v>1752</v>
      </c>
      <c r="J36" s="866" t="str">
        <f t="shared" si="7"/>
        <v>--</v>
      </c>
      <c r="K36" s="866"/>
      <c r="L36" s="470"/>
      <c r="M36" s="885" t="s">
        <v>234</v>
      </c>
      <c r="N36" s="886"/>
      <c r="O36" s="356"/>
      <c r="AJ36" s="312"/>
      <c r="AK36" s="433" t="str">
        <f>HLOOKUP('4 Language'!$B$8,'4 Language'!$C$12:$H$307,75)</f>
        <v>Teilegewicht ohne Nachdruck je Kavität (gewogen)</v>
      </c>
      <c r="AL36" s="408"/>
      <c r="AM36" s="408"/>
      <c r="AN36" s="408"/>
      <c r="AO36" s="434" t="s">
        <v>1753</v>
      </c>
      <c r="AP36" s="432" t="s">
        <v>234</v>
      </c>
      <c r="AQ36" s="324" t="s">
        <v>1785</v>
      </c>
      <c r="AR36" s="314" t="s">
        <v>1787</v>
      </c>
      <c r="AS36" s="314"/>
      <c r="AT36" s="314"/>
      <c r="AU36" s="72"/>
      <c r="AV36" s="720" t="str" cm="1">
        <f t="array" ref="AV36">IF(AW36=J36,"Ü",IF(AW36=M36,"E",X))</f>
        <v>Ü</v>
      </c>
      <c r="AW36" s="723" t="str">
        <f t="shared" si="8"/>
        <v>--</v>
      </c>
      <c r="AX36"/>
      <c r="AY36" s="315"/>
    </row>
    <row r="37" spans="2:51" ht="19.5" customHeight="1" x14ac:dyDescent="0.2">
      <c r="B37" s="480" t="str">
        <f>HLOOKUP('4 Language'!$B$2,'4 Language'!$C$12:$H$307,196)</f>
        <v>Teilegewicht ohne Nachdruck</v>
      </c>
      <c r="C37" s="481"/>
      <c r="D37" s="481"/>
      <c r="E37" s="481"/>
      <c r="F37" s="481"/>
      <c r="G37" s="481"/>
      <c r="H37" s="480" t="s">
        <v>1754</v>
      </c>
      <c r="I37" s="466" t="s">
        <v>1752</v>
      </c>
      <c r="J37" s="866" t="str">
        <f t="shared" si="7"/>
        <v>--</v>
      </c>
      <c r="K37" s="866"/>
      <c r="L37" s="470"/>
      <c r="M37" s="885" t="s">
        <v>234</v>
      </c>
      <c r="N37" s="886"/>
      <c r="O37" s="356"/>
      <c r="P37" s="255" t="str">
        <f>HLOOKUP('4 Language'!$B$8,'4 Language'!$C$12:$H$307,223)</f>
        <v>Einspritzgeschwindigkeit</v>
      </c>
      <c r="Q37" s="256"/>
      <c r="R37" s="256"/>
      <c r="S37" s="256"/>
      <c r="T37" s="256"/>
      <c r="U37" s="256"/>
      <c r="V37" s="257" t="s">
        <v>1739</v>
      </c>
      <c r="W37" s="880" t="str">
        <f>IF(ISERROR(W8/J22),"--",W8/J22)</f>
        <v>--</v>
      </c>
      <c r="X37" s="880"/>
      <c r="Y37" s="266"/>
      <c r="Z37" s="256"/>
      <c r="AA37" s="266"/>
      <c r="AB37" s="880" t="str">
        <f>IF(ISERROR(AB8/AW22),"--",AB8/AW22)</f>
        <v>--</v>
      </c>
      <c r="AC37" s="880"/>
      <c r="AD37" s="266"/>
      <c r="AE37" s="256"/>
      <c r="AJ37" s="312"/>
      <c r="AK37" s="433" t="str">
        <f>HLOOKUP('4 Language'!$B$8,'4 Language'!$C$12:$H$307,75)</f>
        <v>Teilegewicht ohne Nachdruck je Kavität (gewogen)</v>
      </c>
      <c r="AL37" s="408"/>
      <c r="AM37" s="408"/>
      <c r="AN37" s="408"/>
      <c r="AO37" s="434" t="s">
        <v>1754</v>
      </c>
      <c r="AP37" s="432" t="s">
        <v>234</v>
      </c>
      <c r="AQ37" s="324" t="s">
        <v>1785</v>
      </c>
      <c r="AR37" s="314" t="s">
        <v>1787</v>
      </c>
      <c r="AS37" s="314"/>
      <c r="AT37" s="314"/>
      <c r="AU37" s="72"/>
      <c r="AV37" s="720" t="str" cm="1">
        <f t="array" ref="AV37">IF(AW37=J37,"Ü",IF(AW37=M37,"E",X))</f>
        <v>Ü</v>
      </c>
      <c r="AW37" s="723" t="str">
        <f t="shared" si="8"/>
        <v>--</v>
      </c>
      <c r="AX37"/>
      <c r="AY37" s="315"/>
    </row>
    <row r="38" spans="2:51" ht="19.5" customHeight="1" x14ac:dyDescent="0.2">
      <c r="B38" s="404" t="str">
        <f>HLOOKUP('4 Language'!$B$2,'4 Language'!$C$12:$H$307,197)</f>
        <v>Teilegewicht mit Nachdruck</v>
      </c>
      <c r="C38" s="465"/>
      <c r="D38" s="465"/>
      <c r="E38" s="465"/>
      <c r="F38" s="465"/>
      <c r="G38" s="465"/>
      <c r="H38" s="404" t="s">
        <v>1753</v>
      </c>
      <c r="I38" s="466" t="s">
        <v>1752</v>
      </c>
      <c r="J38" s="864">
        <f t="shared" si="7"/>
        <v>0</v>
      </c>
      <c r="K38" s="864"/>
      <c r="L38" s="470"/>
      <c r="M38" s="878"/>
      <c r="N38" s="878"/>
      <c r="O38" s="356"/>
      <c r="P38" s="258" t="str">
        <f>HLOOKUP('4 Language'!$B$8,'4 Language'!$C$12:$H$307,224)</f>
        <v>mit Verarbeitungsempfehlung des Herstellers zu vergleichen</v>
      </c>
      <c r="AH38" s="70"/>
      <c r="AJ38" s="312"/>
      <c r="AK38" s="400" t="str">
        <f>HLOOKUP('4 Language'!$B$8,'4 Language'!$C$12:$H$307,76)</f>
        <v>Teilegewicht je Kavität (gewogen)</v>
      </c>
      <c r="AL38" s="404"/>
      <c r="AM38" s="404"/>
      <c r="AN38" s="404"/>
      <c r="AO38" s="404" t="s">
        <v>1753</v>
      </c>
      <c r="AP38" s="328">
        <f>'1 Injection molding 2K . 3K'!X55</f>
        <v>0</v>
      </c>
      <c r="AQ38" s="324" t="s">
        <v>1785</v>
      </c>
      <c r="AR38" s="314"/>
      <c r="AS38" s="314"/>
      <c r="AT38" s="314"/>
      <c r="AU38" s="72"/>
      <c r="AV38" s="720" t="str" cm="1">
        <f t="array" ref="AV38">IF(AW38=J38,"Ü",IF(AW38=M38,"E",X))</f>
        <v>Ü</v>
      </c>
      <c r="AW38" s="723">
        <f>IF(M38="",J38,M38)</f>
        <v>0</v>
      </c>
      <c r="AX38"/>
      <c r="AY38" s="315"/>
    </row>
    <row r="39" spans="2:51" ht="19.5" customHeight="1" x14ac:dyDescent="0.2">
      <c r="B39" s="404" t="str">
        <f>HLOOKUP('4 Language'!$B$2,'4 Language'!$C$12:$H$307,197)</f>
        <v>Teilegewicht mit Nachdruck</v>
      </c>
      <c r="C39" s="465"/>
      <c r="D39" s="465"/>
      <c r="E39" s="465"/>
      <c r="F39" s="465"/>
      <c r="G39" s="465"/>
      <c r="H39" s="404" t="s">
        <v>1754</v>
      </c>
      <c r="I39" s="466" t="s">
        <v>1752</v>
      </c>
      <c r="J39" s="864">
        <f t="shared" si="7"/>
        <v>0</v>
      </c>
      <c r="K39" s="864"/>
      <c r="L39" s="470"/>
      <c r="M39" s="865"/>
      <c r="N39" s="865"/>
      <c r="O39" s="356"/>
      <c r="P39" s="881" t="str">
        <f>HLOOKUP('4 Language'!$B$8,'4 Language'!$C$12:$H$307,225)</f>
        <v>Schließkraftberechnung entsprechend Eingabe</v>
      </c>
      <c r="Q39" s="881"/>
      <c r="R39" s="881"/>
      <c r="S39" s="881"/>
      <c r="T39" s="881"/>
      <c r="W39" s="488" t="s">
        <v>1818</v>
      </c>
      <c r="AH39" s="70"/>
      <c r="AJ39" s="312"/>
      <c r="AK39" s="400" t="str">
        <f>HLOOKUP('4 Language'!$B$8,'4 Language'!$C$12:$H$307,76)</f>
        <v>Teilegewicht je Kavität (gewogen)</v>
      </c>
      <c r="AL39" s="409"/>
      <c r="AM39" s="409"/>
      <c r="AN39" s="409"/>
      <c r="AO39" s="408" t="s">
        <v>1754</v>
      </c>
      <c r="AP39" s="328">
        <f>'1 Injection molding 2K . 3K'!Z55</f>
        <v>0</v>
      </c>
      <c r="AQ39" s="324" t="s">
        <v>1785</v>
      </c>
      <c r="AR39" s="314"/>
      <c r="AS39" s="314"/>
      <c r="AT39" s="314"/>
      <c r="AU39" s="72"/>
      <c r="AV39" s="720" t="str" cm="1">
        <f t="array" ref="AV39">IF(AW39=J39,"Ü",IF(AW39=M39,"E",X))</f>
        <v>Ü</v>
      </c>
      <c r="AW39" s="723">
        <f>IF(M39="",J39,M39)</f>
        <v>0</v>
      </c>
      <c r="AX39"/>
      <c r="AY39" s="315"/>
    </row>
    <row r="40" spans="2:51" ht="19.5" customHeight="1" x14ac:dyDescent="0.2">
      <c r="B40" s="404" t="str">
        <f>HLOOKUP('4 Language'!$B$8,'4 Language'!$C$12:$H$307,68)</f>
        <v>Eingestellter spezifischer Spritzdruck</v>
      </c>
      <c r="C40" s="465"/>
      <c r="D40" s="465"/>
      <c r="E40" s="465"/>
      <c r="F40" s="465"/>
      <c r="G40" s="465"/>
      <c r="H40" s="404"/>
      <c r="I40" s="470" t="s">
        <v>1749</v>
      </c>
      <c r="J40" s="870">
        <f t="shared" si="7"/>
        <v>0</v>
      </c>
      <c r="K40" s="870"/>
      <c r="L40" s="470"/>
      <c r="M40" s="877"/>
      <c r="N40" s="877"/>
      <c r="O40" s="356"/>
      <c r="P40" s="882"/>
      <c r="Q40" s="882"/>
      <c r="R40" s="882"/>
      <c r="S40" s="882"/>
      <c r="T40" s="882"/>
      <c r="U40" s="256"/>
      <c r="V40" s="282" t="s">
        <v>1740</v>
      </c>
      <c r="W40" s="898">
        <f>IF(ISERROR(J44*J45+J44*J46%+'2.2 K2-Analysis'!W40),"--",J44*J45+J44*J46%+'2.2 K2-Analysis'!W40)</f>
        <v>0</v>
      </c>
      <c r="X40" s="898"/>
      <c r="Y40" s="283"/>
      <c r="Z40" s="284"/>
      <c r="AA40" s="283"/>
      <c r="AB40" s="898">
        <f>IF(ISERROR(M44*AW45+M44*AW46%),"--",M44*AW45+M44*AW46%)</f>
        <v>0</v>
      </c>
      <c r="AC40" s="898"/>
      <c r="AD40" s="283"/>
      <c r="AE40" s="284"/>
      <c r="AF40" s="306"/>
      <c r="AG40" s="306"/>
      <c r="AH40" s="320" t="s">
        <v>1767</v>
      </c>
      <c r="AJ40" s="312"/>
      <c r="AK40" s="400" t="str">
        <f>HLOOKUP('4 Language'!$B$8,'4 Language'!$C$12:$H$307,68)</f>
        <v>Eingestellter spezifischer Spritzdruck</v>
      </c>
      <c r="AL40" s="409"/>
      <c r="AM40" s="409"/>
      <c r="AN40" s="409"/>
      <c r="AO40" s="409"/>
      <c r="AP40" s="328">
        <f>'1 Injection molding 2K . 3K'!Z36</f>
        <v>0</v>
      </c>
      <c r="AQ40" s="324" t="s">
        <v>1783</v>
      </c>
      <c r="AR40" s="314"/>
      <c r="AS40" s="314"/>
      <c r="AT40" s="314"/>
      <c r="AU40" s="72"/>
      <c r="AV40" s="720" t="str" cm="1">
        <f t="array" ref="AV40">IF(AW40=J40,"Ü",IF(AW40=M40,"E",X))</f>
        <v>Ü</v>
      </c>
      <c r="AW40" s="723">
        <f t="shared" ref="AW40" si="9">IF(M40="",J40,M40)</f>
        <v>0</v>
      </c>
      <c r="AX40"/>
      <c r="AY40" s="315"/>
    </row>
    <row r="41" spans="2:51" ht="19.5" customHeight="1" x14ac:dyDescent="0.2">
      <c r="B41" s="404" t="str">
        <f>HLOOKUP('4 Language'!$B$8,'4 Language'!$C$12:$H$307,69)</f>
        <v>Abgelesener spezifischer Spritzdruck</v>
      </c>
      <c r="C41" s="465"/>
      <c r="D41" s="465"/>
      <c r="E41" s="465"/>
      <c r="F41" s="465"/>
      <c r="G41" s="465"/>
      <c r="H41" s="404"/>
      <c r="I41" s="470" t="s">
        <v>1749</v>
      </c>
      <c r="J41" s="870">
        <f t="shared" si="7"/>
        <v>0</v>
      </c>
      <c r="K41" s="870"/>
      <c r="L41" s="470"/>
      <c r="M41" s="877"/>
      <c r="N41" s="877"/>
      <c r="O41" s="269"/>
      <c r="P41" s="258" t="str">
        <f>HLOOKUP('4 Language'!$B$8,'4 Language'!$C$12:$H$307,226)</f>
        <v>Auf Basis von projizierter Fläche und Nachdruck</v>
      </c>
      <c r="AJ41" s="312"/>
      <c r="AK41" s="400" t="str">
        <f>HLOOKUP('4 Language'!$B$8,'4 Language'!$C$12:$H$307,69)</f>
        <v>Abgelesener spezifischer Spritzdruck</v>
      </c>
      <c r="AL41" s="409"/>
      <c r="AM41" s="409"/>
      <c r="AN41" s="409"/>
      <c r="AO41" s="409"/>
      <c r="AP41" s="328">
        <f>'1 Injection molding 2K . 3K'!Z37</f>
        <v>0</v>
      </c>
      <c r="AQ41" s="324" t="s">
        <v>1783</v>
      </c>
      <c r="AR41" s="314"/>
      <c r="AS41" s="314"/>
      <c r="AT41" s="314"/>
      <c r="AU41" s="72"/>
      <c r="AV41" s="72"/>
      <c r="AW41" s="72"/>
      <c r="AX41"/>
      <c r="AY41" s="315"/>
    </row>
    <row r="42" spans="2:51" ht="19.5" customHeight="1" x14ac:dyDescent="0.2">
      <c r="B42" s="404" t="str">
        <f>HLOOKUP('4 Language'!$B$8,'4 Language'!$C$12:$H$307,70)</f>
        <v>Maximal möglicher spezifischer Spritzdruck</v>
      </c>
      <c r="C42" s="465"/>
      <c r="D42" s="465"/>
      <c r="E42" s="465"/>
      <c r="F42" s="465"/>
      <c r="G42" s="465"/>
      <c r="H42" s="404"/>
      <c r="I42" s="470" t="s">
        <v>1749</v>
      </c>
      <c r="J42" s="870">
        <f t="shared" si="7"/>
        <v>0</v>
      </c>
      <c r="K42" s="870"/>
      <c r="L42" s="470"/>
      <c r="M42" s="884"/>
      <c r="N42" s="884"/>
      <c r="O42" s="269"/>
      <c r="P42" s="881" t="str">
        <f>HLOOKUP('4 Language'!$B$8,'4 Language'!$C$12:$H$307,227)</f>
        <v>Verhältnis berechneter zu eingestellter Schließkraft</v>
      </c>
      <c r="Q42" s="881"/>
      <c r="R42" s="881"/>
      <c r="S42" s="881"/>
      <c r="T42" s="881"/>
      <c r="W42" s="488" t="s">
        <v>1818</v>
      </c>
      <c r="AA42" s="285"/>
      <c r="AC42" s="285"/>
      <c r="AE42" s="285"/>
      <c r="AF42" s="306"/>
      <c r="AG42" s="306"/>
      <c r="AH42" s="70"/>
      <c r="AJ42" s="312"/>
      <c r="AK42" s="400" t="str">
        <f>HLOOKUP('4 Language'!$B$8,'4 Language'!$C$12:$H$307,70)</f>
        <v>Maximal möglicher spezifischer Spritzdruck</v>
      </c>
      <c r="AL42" s="409"/>
      <c r="AM42" s="409"/>
      <c r="AN42" s="409"/>
      <c r="AO42" s="409"/>
      <c r="AP42" s="328">
        <f>'1 Injection molding 2K . 3K'!Z38</f>
        <v>0</v>
      </c>
      <c r="AQ42" s="324" t="s">
        <v>1783</v>
      </c>
      <c r="AR42" s="314"/>
      <c r="AS42" s="314"/>
      <c r="AT42" s="314"/>
      <c r="AU42" s="72"/>
      <c r="AV42" s="72"/>
      <c r="AW42" s="72"/>
      <c r="AX42"/>
      <c r="AY42" s="315"/>
    </row>
    <row r="43" spans="2:51" ht="19.5" customHeight="1" x14ac:dyDescent="0.2">
      <c r="O43" s="356"/>
      <c r="P43" s="882"/>
      <c r="Q43" s="882"/>
      <c r="R43" s="882"/>
      <c r="S43" s="882"/>
      <c r="T43" s="882"/>
      <c r="U43" s="256"/>
      <c r="V43" s="282" t="s">
        <v>1736</v>
      </c>
      <c r="W43" s="899" t="str">
        <f>IF(ISERROR(W40/J11*100),"--",W40/J11*100)</f>
        <v>--</v>
      </c>
      <c r="X43" s="899"/>
      <c r="Y43" s="286"/>
      <c r="Z43" s="284"/>
      <c r="AA43" s="287"/>
      <c r="AB43" s="899" t="str">
        <f>IF(ISERROR(AB40/AW11*100),"--",AB40/AW11*100)</f>
        <v>--</v>
      </c>
      <c r="AC43" s="899"/>
      <c r="AD43" s="283"/>
      <c r="AE43" s="284"/>
      <c r="AF43" s="357"/>
      <c r="AG43" s="357"/>
      <c r="AH43" s="320" t="s">
        <v>1768</v>
      </c>
      <c r="AJ43" s="312"/>
      <c r="AK43" s="730" t="str">
        <f>HLOOKUP('4 Language'!$B$8,'4 Language'!$C$12:$H$307,173)</f>
        <v>Zeitpauschale für Werkzeugbewegungen</v>
      </c>
      <c r="AL43" s="731"/>
      <c r="AM43" s="731"/>
      <c r="AN43" s="732"/>
      <c r="AO43" s="732"/>
      <c r="AP43" s="733"/>
      <c r="AQ43" s="734" t="s">
        <v>1776</v>
      </c>
      <c r="AR43" s="314" t="s">
        <v>1788</v>
      </c>
      <c r="AS43" s="314"/>
      <c r="AT43" s="314"/>
      <c r="AU43" s="72"/>
      <c r="AV43" s="314"/>
      <c r="AX43"/>
      <c r="AY43" s="315"/>
    </row>
    <row r="44" spans="2:51" ht="19.5" customHeight="1" x14ac:dyDescent="0.2">
      <c r="B44" s="400" t="str">
        <f>HLOOKUP('4 Language'!$B$8,'4 Language'!$C$12:$H$307,203)</f>
        <v>Benötigte Schließkraft je Kavität</v>
      </c>
      <c r="C44" s="463"/>
      <c r="D44" s="463"/>
      <c r="E44" s="463"/>
      <c r="F44" s="463"/>
      <c r="G44" s="463"/>
      <c r="H44" s="400"/>
      <c r="I44" s="464" t="s">
        <v>1740</v>
      </c>
      <c r="J44" s="900">
        <f>J12*J24/100</f>
        <v>0</v>
      </c>
      <c r="K44" s="900"/>
      <c r="L44" s="400"/>
      <c r="M44" s="900">
        <f>AW12*AW24/100</f>
        <v>0</v>
      </c>
      <c r="N44" s="900"/>
      <c r="O44" s="356"/>
      <c r="P44" s="258" t="str">
        <f>HLOOKUP('4 Language'!$B$8,'4 Language'!$C$12:$H$307,229)</f>
        <v>Eingabe links beachten</v>
      </c>
      <c r="Q44" s="288"/>
      <c r="R44" s="288"/>
      <c r="S44" s="288"/>
      <c r="T44" s="288"/>
      <c r="U44" s="288"/>
      <c r="V44" s="288"/>
      <c r="W44" s="288"/>
      <c r="X44" s="288"/>
      <c r="Y44" s="288"/>
      <c r="Z44" s="288"/>
      <c r="AA44" s="288"/>
      <c r="AC44" s="288"/>
      <c r="AE44" s="288"/>
      <c r="AF44" s="306"/>
      <c r="AG44" s="306"/>
      <c r="AH44" s="70"/>
      <c r="AJ44" s="312"/>
      <c r="AK44" s="398"/>
      <c r="AL44" s="72"/>
      <c r="AM44" s="72"/>
      <c r="AN44" s="314"/>
      <c r="AO44" s="314"/>
      <c r="AP44" s="314"/>
      <c r="AQ44" s="314"/>
      <c r="AR44" s="314"/>
      <c r="AS44" s="314"/>
      <c r="AT44" s="314"/>
      <c r="AU44" s="314"/>
      <c r="AV44" s="314"/>
      <c r="AY44" s="315"/>
    </row>
    <row r="45" spans="2:51" ht="19.5" customHeight="1" x14ac:dyDescent="0.2">
      <c r="B45" s="404" t="str">
        <f>HLOOKUP('4 Language'!$B$8,'4 Language'!$C$12:$H$307,205)</f>
        <v>Gesamtzahl der Kavitäten</v>
      </c>
      <c r="C45" s="465"/>
      <c r="D45" s="465"/>
      <c r="E45" s="465"/>
      <c r="F45" s="465"/>
      <c r="G45" s="465"/>
      <c r="H45" s="404"/>
      <c r="I45" s="466"/>
      <c r="J45" s="876">
        <f>AP45</f>
        <v>0</v>
      </c>
      <c r="K45" s="876"/>
      <c r="L45" s="404"/>
      <c r="M45" s="877"/>
      <c r="N45" s="877"/>
      <c r="O45" s="356"/>
      <c r="P45" s="881" t="str">
        <f>HLOOKUP('4 Language'!$B$8,'4 Language'!$C$12:$H$307,228)</f>
        <v>Verhältnis berechneter zu maximaler Schließkraft</v>
      </c>
      <c r="Q45" s="881"/>
      <c r="R45" s="881"/>
      <c r="S45" s="881"/>
      <c r="T45" s="881"/>
      <c r="U45" s="276"/>
      <c r="V45" s="276"/>
      <c r="W45" s="488" t="s">
        <v>1818</v>
      </c>
      <c r="X45" s="277"/>
      <c r="Y45" s="277"/>
      <c r="Z45" s="277"/>
      <c r="AA45" s="289"/>
      <c r="AF45" s="306"/>
      <c r="AG45" s="306"/>
      <c r="AJ45" s="726"/>
      <c r="AK45" s="400" t="str">
        <f>HLOOKUP('4 Language'!$B$8,'4 Language'!$C$12:$H$307,205)</f>
        <v>Gesamtzahl der Kavitäten</v>
      </c>
      <c r="AL45" s="406"/>
      <c r="AM45" s="406"/>
      <c r="AN45" s="751"/>
      <c r="AO45" s="751"/>
      <c r="AP45" s="323">
        <f>'1 Injection molding 2K . 3K'!AM17</f>
        <v>0</v>
      </c>
      <c r="AQ45" s="751"/>
      <c r="AU45" s="314"/>
      <c r="AV45" s="720"/>
      <c r="AW45" s="721">
        <f>IF(M45="",J45,M45)</f>
        <v>0</v>
      </c>
      <c r="AY45" s="315"/>
    </row>
    <row r="46" spans="2:51" ht="19.5" customHeight="1" x14ac:dyDescent="0.2">
      <c r="B46" s="404" t="str">
        <f>HLOOKUP('4 Language'!$B$8,'4 Language'!$C$12:$H$307,204)&amp;" "&amp;HLOOKUP('4 Language'!$B$8,'4 Language'!$C$12:$H$307,199)</f>
        <v>Eingabe: Zuschlag auf Zuhaltung</v>
      </c>
      <c r="C46" s="465"/>
      <c r="D46" s="465"/>
      <c r="E46" s="465"/>
      <c r="F46" s="465"/>
      <c r="G46" s="465"/>
      <c r="H46" s="404"/>
      <c r="I46" s="466" t="s">
        <v>1736</v>
      </c>
      <c r="J46" s="883">
        <v>10</v>
      </c>
      <c r="K46" s="883"/>
      <c r="L46" s="404"/>
      <c r="M46" s="884"/>
      <c r="N46" s="884"/>
      <c r="O46" s="356"/>
      <c r="P46" s="882"/>
      <c r="Q46" s="882"/>
      <c r="R46" s="882"/>
      <c r="S46" s="882"/>
      <c r="T46" s="882"/>
      <c r="U46" s="256"/>
      <c r="V46" s="282" t="s">
        <v>1736</v>
      </c>
      <c r="W46" s="899" t="str">
        <f>IF(ISERROR(W40/J10*100),"--",W40/J10*100)</f>
        <v>--</v>
      </c>
      <c r="X46" s="899"/>
      <c r="Y46" s="283"/>
      <c r="Z46" s="284"/>
      <c r="AA46" s="283"/>
      <c r="AB46" s="899" t="str">
        <f>IF(ISERROR(AB40/AW10*100),"--",AB40/AW10*100)</f>
        <v>--</v>
      </c>
      <c r="AC46" s="899"/>
      <c r="AD46" s="283"/>
      <c r="AE46" s="284"/>
      <c r="AH46" s="320" t="s">
        <v>1769</v>
      </c>
      <c r="AJ46" s="726"/>
      <c r="AK46" s="359"/>
      <c r="AL46" s="303"/>
      <c r="AM46" s="303"/>
      <c r="AV46" s="720"/>
      <c r="AW46" s="721">
        <f>IF(M46="",J46,M46)</f>
        <v>10</v>
      </c>
      <c r="AY46" s="315"/>
    </row>
    <row r="47" spans="2:51" ht="19.5" customHeight="1" x14ac:dyDescent="0.2">
      <c r="O47" s="356"/>
      <c r="P47" s="263" t="str">
        <f>HLOOKUP('4 Language'!$B$8,'4 Language'!$C$12:$H$307,229)</f>
        <v>Eingabe links beachten</v>
      </c>
      <c r="Q47" s="288"/>
      <c r="R47" s="288"/>
      <c r="S47" s="288"/>
      <c r="T47" s="288"/>
      <c r="U47" s="288"/>
      <c r="V47" s="288"/>
      <c r="W47" s="288"/>
      <c r="X47" s="288"/>
      <c r="Y47" s="288"/>
      <c r="Z47" s="288"/>
      <c r="AA47" s="288"/>
      <c r="AB47" s="288"/>
      <c r="AC47" s="288"/>
      <c r="AD47" s="288"/>
      <c r="AE47" s="288"/>
      <c r="AF47" s="306"/>
      <c r="AG47" s="306"/>
      <c r="AJ47" s="726"/>
      <c r="AK47" s="359"/>
      <c r="AL47" s="303"/>
      <c r="AM47" s="303"/>
      <c r="AX47"/>
      <c r="AY47" s="315"/>
    </row>
    <row r="48" spans="2:51" ht="19.5" customHeight="1" x14ac:dyDescent="0.2">
      <c r="B48" s="742"/>
      <c r="C48" s="743"/>
      <c r="D48" s="743"/>
      <c r="E48" s="743"/>
      <c r="F48" s="743"/>
      <c r="G48" s="743"/>
      <c r="H48" s="743"/>
      <c r="I48" s="743"/>
      <c r="J48" s="743"/>
      <c r="K48" s="743"/>
      <c r="L48" s="743"/>
      <c r="M48" s="743"/>
      <c r="N48" s="744"/>
      <c r="O48" s="288"/>
      <c r="P48" s="255" t="str">
        <f>HLOOKUP('4 Language'!$B$8,'4 Language'!$C$12:$H$330,309)</f>
        <v>Angussgewicht je Bauteil</v>
      </c>
      <c r="Q48" s="256"/>
      <c r="R48" s="256"/>
      <c r="S48" s="256"/>
      <c r="T48" s="256"/>
      <c r="U48" s="745"/>
      <c r="V48" s="282" t="s">
        <v>1752</v>
      </c>
      <c r="W48" s="880" t="str">
        <f>IF(ISERROR(W50/J45),"--",W50/J45)</f>
        <v>--</v>
      </c>
      <c r="X48" s="880"/>
      <c r="Y48" s="266"/>
      <c r="Z48" s="256"/>
      <c r="AA48" s="266"/>
      <c r="AB48" s="880" t="str">
        <f>IF(ISERROR(AB50/AW45),"--",AB50/AW45)</f>
        <v>--</v>
      </c>
      <c r="AC48" s="880"/>
      <c r="AD48" s="266"/>
      <c r="AE48" s="256"/>
      <c r="AF48" s="288"/>
      <c r="AG48" s="288"/>
      <c r="AJ48" s="727"/>
      <c r="AK48" s="728"/>
      <c r="AL48" s="729"/>
      <c r="AM48" s="729"/>
      <c r="AN48" s="724"/>
      <c r="AO48" s="724"/>
      <c r="AP48" s="724"/>
      <c r="AQ48" s="724"/>
      <c r="AR48" s="724"/>
      <c r="AS48" s="724"/>
      <c r="AT48" s="724"/>
      <c r="AU48" s="724"/>
      <c r="AV48" s="724"/>
      <c r="AW48" s="724"/>
      <c r="AX48" s="725"/>
      <c r="AY48" s="358"/>
    </row>
    <row r="49" spans="2:39" ht="18.75" customHeight="1" x14ac:dyDescent="0.2">
      <c r="B49" s="66"/>
      <c r="C49" s="869" t="s">
        <v>1717</v>
      </c>
      <c r="D49" s="869"/>
      <c r="E49" s="869"/>
      <c r="F49" s="869"/>
      <c r="G49" s="869"/>
      <c r="H49" s="869"/>
      <c r="I49" s="869"/>
      <c r="J49" s="869"/>
      <c r="K49" s="869"/>
      <c r="L49" s="869"/>
      <c r="M49" s="869"/>
      <c r="N49" s="267"/>
      <c r="O49" s="739"/>
      <c r="P49" s="732"/>
      <c r="Q49" s="746"/>
      <c r="R49" s="746"/>
      <c r="S49" s="746"/>
      <c r="T49" s="746"/>
      <c r="U49" s="746"/>
      <c r="V49" s="746"/>
      <c r="W49" s="746"/>
      <c r="X49" s="746"/>
      <c r="Y49" s="288"/>
      <c r="Z49" s="288"/>
      <c r="AA49" s="288"/>
      <c r="AB49" s="288"/>
      <c r="AC49" s="288"/>
      <c r="AD49" s="288"/>
      <c r="AE49" s="288"/>
      <c r="AF49" s="306"/>
      <c r="AG49" s="306"/>
      <c r="AJ49" s="303"/>
      <c r="AK49" s="359"/>
      <c r="AL49" s="303"/>
      <c r="AM49" s="303"/>
    </row>
    <row r="50" spans="2:39" ht="19.5" customHeight="1" x14ac:dyDescent="0.2">
      <c r="B50" s="66"/>
      <c r="C50" s="869"/>
      <c r="D50" s="869"/>
      <c r="E50" s="869"/>
      <c r="F50" s="869"/>
      <c r="G50" s="869"/>
      <c r="H50" s="869"/>
      <c r="I50" s="869"/>
      <c r="J50" s="869"/>
      <c r="K50" s="869"/>
      <c r="L50" s="869"/>
      <c r="M50" s="869"/>
      <c r="N50" s="267"/>
      <c r="O50" s="739"/>
      <c r="P50" s="255" t="str">
        <f>HLOOKUP('4 Language'!$B$8,'4 Language'!$C$12:$H$330,308)</f>
        <v>Angussgewicht gesamt</v>
      </c>
      <c r="Q50" s="256"/>
      <c r="R50" s="256"/>
      <c r="S50" s="256"/>
      <c r="T50" s="256"/>
      <c r="U50" s="747"/>
      <c r="V50" s="282" t="s">
        <v>1752</v>
      </c>
      <c r="W50" s="880">
        <f>J35-(AVERAGE(J38:K39)*J45)</f>
        <v>0</v>
      </c>
      <c r="X50" s="880"/>
      <c r="Y50" s="266"/>
      <c r="Z50" s="256"/>
      <c r="AA50" s="266"/>
      <c r="AB50" s="880">
        <f>AW35-(AVERAGE(AW38:AW39)*AW45)</f>
        <v>0</v>
      </c>
      <c r="AC50" s="880"/>
      <c r="AD50" s="266"/>
      <c r="AE50" s="256"/>
      <c r="AF50" s="306"/>
      <c r="AG50" s="306"/>
      <c r="AJ50" s="303"/>
      <c r="AK50" s="359"/>
      <c r="AL50" s="303"/>
      <c r="AM50" s="303"/>
    </row>
    <row r="51" spans="2:39" ht="19.5" customHeight="1" x14ac:dyDescent="0.2">
      <c r="C51" s="869"/>
      <c r="D51" s="869"/>
      <c r="E51" s="869"/>
      <c r="F51" s="869"/>
      <c r="G51" s="869"/>
      <c r="H51" s="869"/>
      <c r="I51" s="869"/>
      <c r="J51" s="869"/>
      <c r="K51" s="869"/>
      <c r="L51" s="869"/>
      <c r="M51" s="869"/>
      <c r="O51" s="739"/>
      <c r="Q51" s="288"/>
      <c r="R51" s="288"/>
      <c r="S51" s="288"/>
      <c r="T51" s="288"/>
      <c r="U51" s="288"/>
      <c r="V51" s="288"/>
      <c r="W51" s="288"/>
      <c r="X51" s="288"/>
      <c r="Y51" s="288"/>
      <c r="Z51" s="288"/>
      <c r="AA51" s="288"/>
      <c r="AB51" s="288"/>
      <c r="AC51" s="288"/>
      <c r="AD51" s="288"/>
      <c r="AE51" s="288"/>
      <c r="AF51" s="306"/>
      <c r="AG51" s="306"/>
      <c r="AJ51" s="303"/>
      <c r="AK51" s="359"/>
      <c r="AL51" s="303"/>
      <c r="AM51" s="303"/>
    </row>
    <row r="52" spans="2:39" ht="12" customHeight="1" x14ac:dyDescent="0.2">
      <c r="B52" s="66"/>
      <c r="C52" s="869"/>
      <c r="D52" s="869"/>
      <c r="E52" s="869"/>
      <c r="F52" s="869"/>
      <c r="G52" s="869"/>
      <c r="H52" s="869"/>
      <c r="I52" s="869"/>
      <c r="J52" s="869"/>
      <c r="K52" s="869"/>
      <c r="L52" s="869"/>
      <c r="M52" s="869"/>
      <c r="N52" s="267"/>
      <c r="O52" s="740"/>
      <c r="P52" s="266"/>
      <c r="Q52" s="290"/>
      <c r="R52" s="290"/>
      <c r="S52" s="290"/>
      <c r="T52" s="290"/>
      <c r="U52" s="290"/>
      <c r="V52" s="290"/>
      <c r="W52" s="290"/>
      <c r="X52" s="290"/>
      <c r="Y52" s="290"/>
      <c r="Z52" s="290"/>
      <c r="AA52" s="290"/>
      <c r="AB52" s="290"/>
      <c r="AC52" s="290"/>
      <c r="AD52" s="290"/>
      <c r="AE52" s="290"/>
      <c r="AF52" s="306"/>
      <c r="AG52" s="306"/>
      <c r="AJ52" s="303"/>
      <c r="AK52" s="359"/>
      <c r="AL52" s="303"/>
      <c r="AM52" s="303"/>
    </row>
    <row r="53" spans="2:39" ht="22.5" customHeight="1" x14ac:dyDescent="0.2">
      <c r="C53" s="869"/>
      <c r="D53" s="869"/>
      <c r="E53" s="869"/>
      <c r="F53" s="869"/>
      <c r="G53" s="869"/>
      <c r="H53" s="869"/>
      <c r="I53" s="869"/>
      <c r="J53" s="869"/>
      <c r="K53" s="869"/>
      <c r="L53" s="869"/>
      <c r="M53" s="869"/>
      <c r="O53" s="741"/>
      <c r="P53" s="66" t="str">
        <f>HLOOKUP('4 Language'!$B$8,'4 Language'!$C$12:$H$307,207)</f>
        <v>Kommentar / Notiz</v>
      </c>
      <c r="Q53" s="288"/>
      <c r="R53" s="288"/>
      <c r="S53" s="288"/>
      <c r="T53" s="288"/>
      <c r="U53" s="288"/>
      <c r="V53" s="288"/>
      <c r="W53" s="288"/>
      <c r="X53" s="288"/>
      <c r="Y53" s="288"/>
      <c r="Z53" s="288"/>
      <c r="AA53" s="288"/>
      <c r="AB53" s="288"/>
      <c r="AC53" s="288"/>
      <c r="AD53" s="288"/>
      <c r="AE53" s="288"/>
      <c r="AF53" s="306"/>
      <c r="AG53" s="306"/>
      <c r="AJ53" s="303"/>
      <c r="AK53" s="359"/>
      <c r="AL53" s="303"/>
      <c r="AM53" s="303"/>
    </row>
    <row r="54" spans="2:39" ht="19.5" customHeight="1" x14ac:dyDescent="0.2">
      <c r="B54" s="706"/>
      <c r="C54" s="869"/>
      <c r="D54" s="869"/>
      <c r="E54" s="869"/>
      <c r="F54" s="869"/>
      <c r="G54" s="869"/>
      <c r="H54" s="869"/>
      <c r="I54" s="869"/>
      <c r="J54" s="869"/>
      <c r="K54" s="869"/>
      <c r="L54" s="869"/>
      <c r="M54" s="869"/>
      <c r="N54" s="706"/>
      <c r="O54" s="288"/>
      <c r="P54" s="735"/>
      <c r="Q54" s="736"/>
      <c r="R54" s="736"/>
      <c r="S54" s="736"/>
      <c r="T54" s="736"/>
      <c r="U54" s="736"/>
      <c r="V54" s="736"/>
      <c r="W54" s="736"/>
      <c r="X54" s="736"/>
      <c r="Y54" s="736"/>
      <c r="Z54" s="736"/>
      <c r="AA54" s="736"/>
      <c r="AB54" s="736"/>
      <c r="AC54" s="736"/>
      <c r="AD54" s="736"/>
      <c r="AE54" s="737"/>
      <c r="AF54" s="306"/>
      <c r="AG54" s="306"/>
      <c r="AJ54" s="303"/>
      <c r="AK54" s="359"/>
      <c r="AL54" s="303"/>
      <c r="AM54" s="303"/>
    </row>
    <row r="55" spans="2:39" ht="19.5" customHeight="1" x14ac:dyDescent="0.2">
      <c r="B55" s="706"/>
      <c r="C55" s="869"/>
      <c r="D55" s="869"/>
      <c r="E55" s="869"/>
      <c r="F55" s="869"/>
      <c r="G55" s="869"/>
      <c r="H55" s="869"/>
      <c r="I55" s="869"/>
      <c r="J55" s="869"/>
      <c r="K55" s="869"/>
      <c r="L55" s="869"/>
      <c r="M55" s="869"/>
      <c r="N55" s="706"/>
      <c r="O55" s="288"/>
      <c r="P55" s="707"/>
      <c r="Q55" s="738"/>
      <c r="R55" s="738"/>
      <c r="S55" s="738"/>
      <c r="T55" s="738"/>
      <c r="U55" s="738"/>
      <c r="V55" s="738"/>
      <c r="W55" s="738"/>
      <c r="X55" s="738"/>
      <c r="Y55" s="738"/>
      <c r="Z55" s="738"/>
      <c r="AA55" s="738"/>
      <c r="AB55" s="738"/>
      <c r="AC55" s="738"/>
      <c r="AD55" s="738"/>
      <c r="AE55" s="708"/>
      <c r="AF55" s="306"/>
      <c r="AG55" s="306"/>
      <c r="AJ55" s="303"/>
      <c r="AK55" s="359"/>
      <c r="AL55" s="303"/>
      <c r="AM55" s="303"/>
    </row>
    <row r="56" spans="2:39" ht="19.5" customHeight="1" x14ac:dyDescent="0.2">
      <c r="B56" s="706"/>
      <c r="C56" s="706"/>
      <c r="D56" s="706"/>
      <c r="E56" s="706"/>
      <c r="F56" s="706"/>
      <c r="G56" s="706"/>
      <c r="H56" s="706"/>
      <c r="I56" s="706"/>
      <c r="J56" s="706"/>
      <c r="K56" s="706"/>
      <c r="L56" s="706"/>
      <c r="M56" s="706"/>
      <c r="N56" s="706"/>
      <c r="O56" s="356"/>
      <c r="P56" s="707"/>
      <c r="Q56" s="738"/>
      <c r="R56" s="738"/>
      <c r="S56" s="738"/>
      <c r="T56" s="738"/>
      <c r="U56" s="738"/>
      <c r="V56" s="738"/>
      <c r="W56" s="738"/>
      <c r="X56" s="738"/>
      <c r="Y56" s="738"/>
      <c r="Z56" s="738"/>
      <c r="AA56" s="738"/>
      <c r="AB56" s="738"/>
      <c r="AC56" s="738"/>
      <c r="AD56" s="738"/>
      <c r="AE56" s="708"/>
      <c r="AF56" s="306"/>
      <c r="AG56" s="306"/>
      <c r="AJ56" s="303"/>
      <c r="AK56" s="359"/>
      <c r="AL56" s="303"/>
      <c r="AM56" s="303"/>
    </row>
    <row r="57" spans="2:39" ht="19.5" customHeight="1" x14ac:dyDescent="0.2">
      <c r="B57" s="712" t="s">
        <v>1755</v>
      </c>
      <c r="C57" s="879" t="s">
        <v>1719</v>
      </c>
      <c r="D57" s="879"/>
      <c r="E57" s="879"/>
      <c r="F57" s="879"/>
      <c r="G57" s="879"/>
      <c r="H57" s="879"/>
      <c r="I57" s="879"/>
      <c r="J57" s="879"/>
      <c r="K57" s="879"/>
      <c r="L57" s="879"/>
      <c r="M57" s="879"/>
      <c r="N57" s="706"/>
      <c r="O57" s="356"/>
      <c r="P57" s="707"/>
      <c r="Q57" s="738"/>
      <c r="R57" s="738"/>
      <c r="S57" s="738"/>
      <c r="T57" s="738"/>
      <c r="U57" s="738"/>
      <c r="V57" s="738"/>
      <c r="W57" s="738"/>
      <c r="X57" s="738"/>
      <c r="Y57" s="738"/>
      <c r="Z57" s="738"/>
      <c r="AA57" s="738"/>
      <c r="AB57" s="738"/>
      <c r="AC57" s="738"/>
      <c r="AD57" s="738"/>
      <c r="AE57" s="708"/>
      <c r="AF57" s="306"/>
      <c r="AG57" s="306"/>
      <c r="AJ57" s="303"/>
      <c r="AK57" s="359"/>
      <c r="AL57" s="303"/>
      <c r="AM57" s="303"/>
    </row>
    <row r="58" spans="2:39" ht="19.5" customHeight="1" x14ac:dyDescent="0.2">
      <c r="C58" s="879"/>
      <c r="D58" s="879"/>
      <c r="E58" s="879"/>
      <c r="F58" s="879"/>
      <c r="G58" s="879"/>
      <c r="H58" s="879"/>
      <c r="I58" s="879"/>
      <c r="J58" s="879"/>
      <c r="K58" s="879"/>
      <c r="L58" s="879"/>
      <c r="M58" s="879"/>
      <c r="N58" s="713"/>
      <c r="O58" s="356"/>
      <c r="P58" s="709"/>
      <c r="Q58" s="710"/>
      <c r="R58" s="710"/>
      <c r="S58" s="710"/>
      <c r="T58" s="710"/>
      <c r="U58" s="710"/>
      <c r="V58" s="710"/>
      <c r="W58" s="710"/>
      <c r="X58" s="710"/>
      <c r="Y58" s="710"/>
      <c r="Z58" s="710"/>
      <c r="AA58" s="710"/>
      <c r="AB58" s="710"/>
      <c r="AC58" s="710"/>
      <c r="AD58" s="710"/>
      <c r="AE58" s="711"/>
      <c r="AF58" s="303"/>
      <c r="AG58" s="303"/>
      <c r="AJ58" s="303"/>
      <c r="AK58" s="359"/>
      <c r="AL58" s="303"/>
      <c r="AM58" s="303"/>
    </row>
    <row r="59" spans="2:39" ht="19.5" customHeight="1" x14ac:dyDescent="0.2">
      <c r="B59" s="712"/>
      <c r="C59" s="713"/>
      <c r="D59" s="713"/>
      <c r="E59" s="713"/>
      <c r="F59" s="713"/>
      <c r="G59" s="713"/>
      <c r="H59" s="713"/>
      <c r="I59" s="713"/>
      <c r="J59" s="713"/>
      <c r="K59" s="713"/>
      <c r="L59" s="713"/>
      <c r="M59" s="713"/>
      <c r="N59" s="713"/>
      <c r="O59" s="356"/>
      <c r="P59" s="273"/>
      <c r="Q59" s="269"/>
      <c r="AF59" s="303"/>
      <c r="AG59" s="303"/>
      <c r="AJ59" s="303"/>
      <c r="AK59" s="359"/>
      <c r="AL59" s="303"/>
      <c r="AM59" s="303"/>
    </row>
    <row r="60" spans="2:39" ht="19.5" customHeight="1" x14ac:dyDescent="0.2">
      <c r="B60" s="267"/>
      <c r="K60" s="268"/>
      <c r="L60" s="269"/>
      <c r="M60" s="268"/>
      <c r="N60" s="269"/>
      <c r="O60" s="356"/>
      <c r="AF60" s="306"/>
      <c r="AG60" s="306"/>
      <c r="AJ60" s="303"/>
      <c r="AK60" s="359"/>
      <c r="AL60" s="303"/>
      <c r="AM60" s="303"/>
    </row>
    <row r="61" spans="2:39" ht="19.5" customHeight="1" x14ac:dyDescent="0.2">
      <c r="B61" s="267"/>
      <c r="C61" s="267"/>
      <c r="D61" s="267"/>
      <c r="E61" s="362"/>
      <c r="F61" s="362"/>
      <c r="G61" s="267"/>
      <c r="J61" s="268"/>
      <c r="K61" s="269"/>
      <c r="L61" s="363"/>
      <c r="M61" s="268"/>
      <c r="N61" s="269"/>
      <c r="O61" s="356"/>
      <c r="P61" s="273"/>
      <c r="Q61" s="269"/>
      <c r="AF61" s="303"/>
      <c r="AG61" s="303"/>
      <c r="AJ61" s="303"/>
      <c r="AK61" s="359"/>
      <c r="AL61" s="303"/>
      <c r="AM61" s="303"/>
    </row>
    <row r="62" spans="2:39" ht="19.5" customHeight="1" x14ac:dyDescent="0.2">
      <c r="B62" s="267"/>
      <c r="C62" s="267"/>
      <c r="D62" s="267"/>
      <c r="E62" s="362"/>
      <c r="F62" s="362"/>
      <c r="G62" s="267"/>
      <c r="J62" s="268"/>
      <c r="K62" s="269"/>
      <c r="L62" s="363"/>
      <c r="M62" s="268"/>
      <c r="N62" s="269"/>
      <c r="O62" s="356"/>
      <c r="P62" s="273"/>
      <c r="Q62" s="269"/>
      <c r="AF62" s="303"/>
      <c r="AG62" s="303"/>
      <c r="AJ62" s="303"/>
      <c r="AK62" s="359"/>
      <c r="AL62" s="303"/>
      <c r="AM62" s="303"/>
    </row>
    <row r="63" spans="2:39" ht="19.5" customHeight="1" x14ac:dyDescent="0.2">
      <c r="B63" s="267"/>
      <c r="C63" s="267"/>
      <c r="D63" s="267"/>
      <c r="E63" s="362"/>
      <c r="F63" s="362"/>
      <c r="G63" s="267"/>
      <c r="J63" s="268"/>
      <c r="K63" s="269"/>
      <c r="L63" s="363"/>
      <c r="M63" s="268"/>
      <c r="N63" s="269"/>
      <c r="O63" s="356"/>
      <c r="P63" s="273"/>
      <c r="Q63" s="269"/>
      <c r="AF63" s="303"/>
      <c r="AG63" s="303"/>
      <c r="AJ63" s="303"/>
      <c r="AK63" s="359"/>
      <c r="AL63" s="303"/>
      <c r="AM63" s="303"/>
    </row>
    <row r="64" spans="2:39" ht="19.5" customHeight="1" x14ac:dyDescent="0.2">
      <c r="B64" s="267"/>
      <c r="C64" s="267"/>
      <c r="D64" s="267"/>
      <c r="E64" s="362"/>
      <c r="F64" s="362"/>
      <c r="G64" s="267"/>
      <c r="J64" s="268"/>
      <c r="K64" s="269"/>
      <c r="L64" s="363"/>
      <c r="M64" s="268"/>
      <c r="N64" s="269"/>
      <c r="O64" s="356"/>
      <c r="P64" s="273"/>
      <c r="Q64" s="269"/>
      <c r="AF64" s="303"/>
      <c r="AG64" s="303"/>
      <c r="AJ64" s="303"/>
      <c r="AK64" s="359"/>
      <c r="AL64" s="303"/>
      <c r="AM64" s="303"/>
    </row>
    <row r="65" spans="2:39" ht="19.5" customHeight="1" x14ac:dyDescent="0.2">
      <c r="B65" s="267"/>
      <c r="C65" s="267"/>
      <c r="D65" s="267"/>
      <c r="E65" s="267"/>
      <c r="F65" s="269"/>
      <c r="G65" s="360"/>
      <c r="H65" s="360"/>
      <c r="I65" s="361"/>
      <c r="J65" s="361"/>
      <c r="K65" s="361"/>
      <c r="L65" s="361"/>
      <c r="M65" s="361"/>
      <c r="N65" s="360"/>
      <c r="O65" s="356"/>
      <c r="P65" s="273"/>
      <c r="Q65" s="269"/>
      <c r="AF65" s="303"/>
      <c r="AG65" s="303"/>
      <c r="AJ65" s="303"/>
      <c r="AK65" s="359"/>
      <c r="AL65" s="303"/>
      <c r="AM65" s="303"/>
    </row>
    <row r="66" spans="2:39" ht="9" customHeight="1" x14ac:dyDescent="0.2">
      <c r="B66" s="267"/>
      <c r="C66" s="267"/>
      <c r="D66" s="267"/>
      <c r="E66" s="267"/>
      <c r="F66" s="269"/>
      <c r="G66" s="364"/>
      <c r="H66" s="268"/>
      <c r="I66" s="269"/>
      <c r="J66" s="364"/>
      <c r="K66" s="364"/>
      <c r="L66" s="364"/>
      <c r="M66" s="268"/>
      <c r="N66" s="269"/>
      <c r="O66" s="356"/>
      <c r="P66" s="269"/>
      <c r="Q66" s="269"/>
      <c r="R66" s="269"/>
      <c r="S66" s="269"/>
      <c r="T66" s="269"/>
      <c r="U66" s="269"/>
      <c r="V66" s="269"/>
      <c r="W66" s="269"/>
      <c r="X66" s="269"/>
      <c r="Y66" s="269"/>
      <c r="Z66" s="269"/>
      <c r="AA66" s="269"/>
      <c r="AB66" s="269"/>
      <c r="AC66" s="269"/>
      <c r="AD66" s="269"/>
      <c r="AE66" s="269"/>
      <c r="AF66" s="306"/>
      <c r="AG66" s="306"/>
      <c r="AJ66" s="303"/>
      <c r="AK66" s="359"/>
      <c r="AL66" s="303"/>
      <c r="AM66" s="303"/>
    </row>
    <row r="67" spans="2:39" ht="19.5" customHeight="1" x14ac:dyDescent="0.2">
      <c r="B67" s="267"/>
      <c r="C67" s="267"/>
      <c r="D67" s="267"/>
      <c r="E67" s="267"/>
      <c r="F67" s="269"/>
      <c r="G67" s="364"/>
      <c r="H67" s="268"/>
      <c r="I67" s="269"/>
      <c r="J67" s="269"/>
      <c r="K67" s="269"/>
      <c r="L67" s="269"/>
      <c r="M67" s="269"/>
      <c r="N67" s="269"/>
      <c r="O67" s="356"/>
      <c r="P67" s="269"/>
      <c r="Q67" s="269"/>
      <c r="R67" s="269"/>
      <c r="S67" s="365"/>
      <c r="T67" s="365"/>
      <c r="U67" s="365"/>
      <c r="V67" s="365"/>
      <c r="W67" s="365"/>
      <c r="X67" s="365"/>
      <c r="Y67" s="365"/>
      <c r="Z67" s="365"/>
      <c r="AA67" s="365"/>
      <c r="AB67" s="365"/>
      <c r="AC67" s="365"/>
      <c r="AD67" s="365"/>
      <c r="AE67" s="365"/>
      <c r="AF67" s="306"/>
      <c r="AG67" s="306"/>
      <c r="AJ67" s="303"/>
      <c r="AK67" s="359"/>
      <c r="AL67" s="303"/>
      <c r="AM67" s="303"/>
    </row>
    <row r="68" spans="2:39" ht="19.5" customHeight="1" x14ac:dyDescent="0.2">
      <c r="B68" s="366"/>
      <c r="C68" s="367"/>
      <c r="D68" s="367"/>
      <c r="E68" s="367"/>
      <c r="M68" s="276"/>
      <c r="S68" s="368"/>
      <c r="T68" s="368"/>
      <c r="U68" s="365"/>
      <c r="V68" s="368"/>
      <c r="W68" s="368"/>
      <c r="X68" s="368"/>
      <c r="Y68" s="368"/>
      <c r="Z68" s="368"/>
      <c r="AA68" s="368"/>
      <c r="AB68" s="368"/>
      <c r="AC68" s="368"/>
      <c r="AD68" s="368"/>
      <c r="AE68" s="368"/>
      <c r="AF68" s="306"/>
      <c r="AG68" s="306"/>
      <c r="AJ68" s="303"/>
      <c r="AK68" s="359"/>
      <c r="AL68" s="303"/>
      <c r="AM68" s="303"/>
    </row>
    <row r="69" spans="2:39" ht="19.5" customHeight="1" x14ac:dyDescent="0.2">
      <c r="B69" s="276"/>
      <c r="C69" s="369"/>
      <c r="D69" s="269"/>
      <c r="E69" s="276"/>
      <c r="F69" s="269"/>
      <c r="G69" s="364"/>
      <c r="H69" s="364"/>
      <c r="I69" s="370"/>
      <c r="J69" s="371"/>
      <c r="K69" s="372"/>
      <c r="L69" s="370"/>
      <c r="M69" s="371"/>
      <c r="N69" s="370"/>
      <c r="O69" s="356"/>
      <c r="P69" s="276"/>
      <c r="Q69" s="369"/>
      <c r="R69" s="269"/>
      <c r="S69" s="276"/>
      <c r="T69" s="276"/>
      <c r="U69" s="361"/>
      <c r="V69" s="361"/>
      <c r="W69" s="361"/>
      <c r="X69" s="361"/>
      <c r="Y69" s="361"/>
      <c r="Z69" s="361"/>
      <c r="AA69" s="361"/>
      <c r="AB69" s="361"/>
      <c r="AC69" s="361"/>
      <c r="AD69" s="361"/>
      <c r="AE69" s="361"/>
      <c r="AF69" s="306"/>
      <c r="AG69" s="306"/>
      <c r="AJ69" s="303"/>
      <c r="AK69" s="359"/>
      <c r="AL69" s="303"/>
      <c r="AM69" s="303"/>
    </row>
    <row r="70" spans="2:39" ht="19.5" customHeight="1" x14ac:dyDescent="0.2">
      <c r="B70" s="276"/>
      <c r="C70" s="369"/>
      <c r="D70" s="269"/>
      <c r="E70" s="276"/>
      <c r="F70" s="373"/>
      <c r="G70" s="373"/>
      <c r="H70" s="374"/>
      <c r="I70" s="373"/>
      <c r="J70" s="373"/>
      <c r="K70" s="374"/>
      <c r="L70" s="373"/>
      <c r="M70" s="373"/>
      <c r="N70" s="364"/>
      <c r="O70" s="356"/>
      <c r="P70" s="276"/>
      <c r="Q70" s="369"/>
      <c r="R70" s="269"/>
      <c r="S70" s="276"/>
      <c r="T70" s="269"/>
      <c r="U70" s="269"/>
      <c r="V70" s="269"/>
      <c r="W70" s="364"/>
      <c r="X70" s="363"/>
      <c r="Y70" s="363"/>
      <c r="Z70" s="363"/>
      <c r="AA70" s="363"/>
      <c r="AB70" s="363"/>
      <c r="AC70" s="373"/>
      <c r="AD70" s="373"/>
      <c r="AE70" s="248"/>
      <c r="AF70" s="306"/>
      <c r="AG70" s="306"/>
      <c r="AJ70" s="303"/>
      <c r="AK70" s="359"/>
      <c r="AL70" s="303"/>
      <c r="AM70" s="303"/>
    </row>
    <row r="71" spans="2:39" ht="19.5" customHeight="1" x14ac:dyDescent="0.2">
      <c r="B71" s="276"/>
      <c r="C71" s="369"/>
      <c r="D71" s="269"/>
      <c r="E71" s="276"/>
      <c r="F71" s="269"/>
      <c r="G71" s="364"/>
      <c r="H71" s="364"/>
      <c r="I71" s="364"/>
      <c r="J71" s="364"/>
      <c r="K71" s="364"/>
      <c r="L71" s="375"/>
      <c r="M71" s="375"/>
      <c r="N71" s="364"/>
      <c r="O71" s="364"/>
      <c r="AF71" s="306"/>
      <c r="AG71" s="306"/>
      <c r="AJ71" s="303"/>
      <c r="AK71" s="359"/>
      <c r="AL71" s="303"/>
      <c r="AM71" s="303"/>
    </row>
    <row r="72" spans="2:39" ht="19.5" customHeight="1" x14ac:dyDescent="0.2">
      <c r="B72" s="276"/>
      <c r="C72" s="269"/>
      <c r="H72" s="268"/>
      <c r="I72" s="376"/>
      <c r="M72" s="377"/>
      <c r="O72" s="364"/>
      <c r="AF72" s="306"/>
      <c r="AG72" s="306"/>
      <c r="AJ72" s="303"/>
      <c r="AK72" s="359"/>
      <c r="AL72" s="303"/>
      <c r="AM72" s="303"/>
    </row>
    <row r="73" spans="2:39" ht="19.5" customHeight="1" x14ac:dyDescent="0.2">
      <c r="H73" s="268"/>
      <c r="M73" s="268"/>
      <c r="O73" s="364"/>
      <c r="AF73" s="306"/>
      <c r="AG73" s="306"/>
      <c r="AJ73" s="303"/>
      <c r="AK73" s="359"/>
      <c r="AL73" s="303"/>
      <c r="AM73" s="303"/>
    </row>
    <row r="74" spans="2:39" ht="19.5" customHeight="1" x14ac:dyDescent="0.2">
      <c r="B74" s="276"/>
      <c r="C74" s="369"/>
      <c r="D74" s="269"/>
      <c r="E74" s="276"/>
      <c r="F74" s="276"/>
      <c r="G74" s="361"/>
      <c r="H74" s="361"/>
      <c r="I74" s="361"/>
      <c r="J74" s="361"/>
      <c r="K74" s="361"/>
      <c r="L74" s="361"/>
      <c r="M74" s="361"/>
      <c r="N74" s="361"/>
      <c r="O74" s="364"/>
      <c r="AF74" s="306"/>
      <c r="AG74" s="306"/>
      <c r="AJ74" s="303"/>
      <c r="AK74" s="359"/>
      <c r="AL74" s="303"/>
      <c r="AM74" s="303"/>
    </row>
    <row r="75" spans="2:39" ht="19.5" customHeight="1" x14ac:dyDescent="0.2">
      <c r="B75" s="276"/>
      <c r="C75" s="369"/>
      <c r="D75" s="269"/>
      <c r="E75" s="276"/>
      <c r="F75" s="276"/>
      <c r="G75" s="361"/>
      <c r="H75" s="361"/>
      <c r="I75" s="361"/>
      <c r="J75" s="361"/>
      <c r="K75" s="361"/>
      <c r="L75" s="361"/>
      <c r="M75" s="361"/>
      <c r="N75" s="361"/>
      <c r="O75" s="364"/>
      <c r="AF75" s="306"/>
      <c r="AG75" s="306"/>
      <c r="AJ75" s="303"/>
      <c r="AK75" s="359"/>
      <c r="AL75" s="303"/>
      <c r="AM75" s="303"/>
    </row>
    <row r="76" spans="2:39" ht="19.5" customHeight="1" x14ac:dyDescent="0.2">
      <c r="B76" s="276"/>
      <c r="C76" s="369"/>
      <c r="D76" s="269"/>
      <c r="E76" s="276"/>
      <c r="F76" s="276"/>
      <c r="G76" s="361"/>
      <c r="H76" s="361"/>
      <c r="I76" s="361"/>
      <c r="J76" s="361"/>
      <c r="K76" s="361"/>
      <c r="L76" s="361"/>
      <c r="M76" s="361"/>
      <c r="N76" s="361"/>
      <c r="O76" s="364"/>
      <c r="AJ76" s="303"/>
      <c r="AK76" s="359"/>
      <c r="AL76" s="303"/>
      <c r="AM76" s="303"/>
    </row>
    <row r="77" spans="2:39" ht="19.5" customHeight="1" x14ac:dyDescent="0.2">
      <c r="B77" s="269"/>
      <c r="F77" s="378"/>
      <c r="G77" s="379"/>
      <c r="H77" s="379"/>
      <c r="J77" s="380"/>
      <c r="L77" s="381"/>
      <c r="M77" s="381"/>
      <c r="N77" s="382"/>
      <c r="O77" s="364"/>
      <c r="AF77" s="306"/>
      <c r="AG77" s="306"/>
      <c r="AJ77" s="303"/>
      <c r="AK77" s="359"/>
      <c r="AL77" s="303"/>
      <c r="AM77" s="303"/>
    </row>
    <row r="78" spans="2:39" ht="19.5" customHeight="1" x14ac:dyDescent="0.2">
      <c r="B78" s="383"/>
      <c r="G78" s="384"/>
      <c r="H78" s="384"/>
      <c r="K78" s="268"/>
      <c r="L78" s="384"/>
      <c r="M78" s="384"/>
      <c r="O78" s="364"/>
      <c r="AF78" s="306"/>
      <c r="AG78" s="306"/>
      <c r="AJ78" s="303"/>
      <c r="AK78" s="359"/>
      <c r="AL78" s="303"/>
      <c r="AM78" s="303"/>
    </row>
    <row r="79" spans="2:39" ht="19.5" customHeight="1" x14ac:dyDescent="0.2">
      <c r="B79" s="383"/>
      <c r="G79" s="384"/>
      <c r="H79" s="384"/>
      <c r="K79" s="268"/>
      <c r="L79" s="384"/>
      <c r="M79" s="384"/>
      <c r="O79" s="364"/>
      <c r="AF79" s="306"/>
      <c r="AG79" s="306"/>
      <c r="AJ79" s="303"/>
      <c r="AK79" s="359"/>
      <c r="AL79" s="303"/>
      <c r="AM79" s="303"/>
    </row>
    <row r="80" spans="2:39" ht="19.5" customHeight="1" x14ac:dyDescent="0.2">
      <c r="B80" s="383"/>
      <c r="G80" s="384"/>
      <c r="H80" s="384"/>
      <c r="K80" s="268"/>
      <c r="L80" s="384"/>
      <c r="M80" s="384"/>
      <c r="O80" s="364"/>
      <c r="AF80" s="306"/>
      <c r="AG80" s="306"/>
      <c r="AJ80" s="303"/>
      <c r="AK80" s="359"/>
      <c r="AL80" s="303"/>
      <c r="AM80" s="303"/>
    </row>
    <row r="81" spans="1:39" ht="9.75" customHeight="1" x14ac:dyDescent="0.2">
      <c r="A81" s="269"/>
      <c r="B81" s="269"/>
      <c r="C81" s="269"/>
      <c r="D81" s="269"/>
      <c r="E81" s="276"/>
      <c r="F81" s="269"/>
      <c r="G81" s="364"/>
      <c r="H81" s="364"/>
      <c r="I81" s="364"/>
      <c r="J81" s="364"/>
      <c r="K81" s="364"/>
      <c r="L81" s="364"/>
      <c r="M81" s="364"/>
      <c r="N81" s="364"/>
      <c r="O81" s="364"/>
      <c r="AF81" s="306"/>
      <c r="AG81" s="306"/>
      <c r="AJ81" s="303"/>
      <c r="AK81" s="359"/>
      <c r="AL81" s="303"/>
      <c r="AM81" s="303"/>
    </row>
    <row r="82" spans="1:39" ht="19.5" customHeight="1" x14ac:dyDescent="0.2">
      <c r="A82" s="269"/>
      <c r="B82" s="366"/>
      <c r="C82" s="367"/>
      <c r="D82" s="367"/>
      <c r="E82" s="367"/>
      <c r="M82" s="276"/>
      <c r="AF82" s="306"/>
      <c r="AG82" s="306"/>
      <c r="AJ82" s="303"/>
      <c r="AK82" s="359"/>
      <c r="AL82" s="303"/>
      <c r="AM82" s="303"/>
    </row>
    <row r="83" spans="1:39" ht="19.5" customHeight="1" x14ac:dyDescent="0.2">
      <c r="A83" s="269"/>
      <c r="B83" s="385"/>
      <c r="C83" s="269"/>
      <c r="D83" s="269"/>
      <c r="E83" s="276"/>
      <c r="F83" s="269"/>
      <c r="G83" s="364"/>
      <c r="H83" s="364"/>
      <c r="I83" s="364"/>
      <c r="K83" s="268"/>
      <c r="L83" s="269"/>
      <c r="M83" s="268"/>
      <c r="N83" s="269"/>
      <c r="O83" s="364"/>
      <c r="AF83" s="306"/>
      <c r="AG83" s="306"/>
      <c r="AJ83" s="303"/>
      <c r="AK83" s="359"/>
      <c r="AL83" s="303"/>
      <c r="AM83" s="303"/>
    </row>
    <row r="84" spans="1:39" ht="19.5" customHeight="1" x14ac:dyDescent="0.2">
      <c r="A84" s="269"/>
      <c r="B84" s="276"/>
      <c r="C84" s="288"/>
      <c r="D84" s="288"/>
      <c r="E84" s="288"/>
      <c r="F84" s="288"/>
      <c r="G84" s="288"/>
      <c r="H84" s="288"/>
      <c r="I84" s="288"/>
      <c r="J84" s="288"/>
      <c r="K84" s="288"/>
      <c r="L84" s="288"/>
      <c r="M84" s="288"/>
      <c r="N84" s="288"/>
      <c r="O84" s="364"/>
      <c r="AF84" s="306"/>
      <c r="AG84" s="306"/>
      <c r="AJ84" s="303"/>
      <c r="AK84" s="359"/>
      <c r="AL84" s="303"/>
      <c r="AM84" s="303"/>
    </row>
    <row r="85" spans="1:39" ht="19.5" customHeight="1" x14ac:dyDescent="0.2">
      <c r="B85" s="386"/>
      <c r="C85" s="386"/>
      <c r="D85" s="386"/>
      <c r="E85" s="386"/>
      <c r="F85" s="386"/>
      <c r="G85" s="386"/>
      <c r="H85" s="386"/>
      <c r="I85" s="386"/>
      <c r="J85" s="386"/>
      <c r="K85" s="386"/>
      <c r="L85" s="386"/>
      <c r="M85" s="386"/>
      <c r="N85" s="386"/>
      <c r="O85" s="364"/>
      <c r="AF85" s="306"/>
      <c r="AG85" s="306"/>
      <c r="AJ85" s="303"/>
      <c r="AK85" s="359"/>
      <c r="AL85" s="303"/>
      <c r="AM85" s="303"/>
    </row>
    <row r="86" spans="1:39" ht="19.5" customHeight="1" x14ac:dyDescent="0.2">
      <c r="B86" s="269"/>
      <c r="C86" s="369"/>
      <c r="D86" s="269"/>
      <c r="E86" s="276"/>
      <c r="F86" s="269"/>
      <c r="G86" s="364"/>
      <c r="H86" s="364"/>
      <c r="I86" s="364"/>
      <c r="J86" s="364"/>
      <c r="K86" s="364"/>
      <c r="L86" s="387"/>
      <c r="M86" s="387"/>
      <c r="N86" s="364"/>
      <c r="O86" s="364"/>
      <c r="AJ86" s="303"/>
      <c r="AK86" s="359"/>
      <c r="AL86" s="303"/>
      <c r="AM86" s="303"/>
    </row>
    <row r="87" spans="1:39" ht="19.5" customHeight="1" x14ac:dyDescent="0.2">
      <c r="B87" s="269"/>
      <c r="C87" s="369"/>
      <c r="D87" s="269"/>
      <c r="E87" s="276"/>
      <c r="F87" s="269"/>
      <c r="G87" s="364"/>
      <c r="H87" s="364"/>
      <c r="I87" s="364"/>
      <c r="K87" s="268"/>
      <c r="L87" s="269"/>
      <c r="M87" s="268"/>
      <c r="N87" s="269"/>
      <c r="O87" s="364"/>
      <c r="AF87" s="306"/>
      <c r="AG87" s="306"/>
      <c r="AJ87" s="303"/>
      <c r="AK87" s="359"/>
      <c r="AL87" s="303"/>
      <c r="AM87" s="303"/>
    </row>
    <row r="88" spans="1:39" ht="9.75" customHeight="1" x14ac:dyDescent="0.2">
      <c r="B88" s="269"/>
      <c r="C88" s="369"/>
      <c r="D88" s="269"/>
      <c r="E88" s="276"/>
      <c r="F88" s="269"/>
      <c r="G88" s="364"/>
      <c r="H88" s="364"/>
      <c r="I88" s="364"/>
      <c r="J88" s="364"/>
      <c r="K88" s="364"/>
      <c r="L88" s="364"/>
      <c r="M88" s="364"/>
      <c r="N88" s="364"/>
      <c r="O88" s="364"/>
      <c r="AF88" s="306"/>
      <c r="AG88" s="306"/>
      <c r="AJ88" s="303"/>
      <c r="AK88" s="359"/>
      <c r="AL88" s="303"/>
      <c r="AM88" s="303"/>
    </row>
    <row r="89" spans="1:39" ht="19.5" customHeight="1" x14ac:dyDescent="0.2">
      <c r="B89" s="366"/>
      <c r="C89" s="367"/>
      <c r="D89" s="367"/>
      <c r="E89" s="367"/>
      <c r="M89" s="276"/>
      <c r="AF89" s="306"/>
      <c r="AG89" s="306"/>
      <c r="AJ89" s="303"/>
      <c r="AK89" s="359"/>
      <c r="AL89" s="303"/>
      <c r="AM89" s="303"/>
    </row>
    <row r="90" spans="1:39" ht="19.5" customHeight="1" x14ac:dyDescent="0.2">
      <c r="B90" s="369"/>
      <c r="C90" s="369"/>
      <c r="D90" s="269"/>
      <c r="E90" s="276"/>
      <c r="F90" s="269"/>
      <c r="G90" s="364"/>
      <c r="H90" s="364"/>
      <c r="I90" s="364"/>
      <c r="K90" s="268"/>
      <c r="L90" s="269"/>
      <c r="M90" s="268"/>
      <c r="N90" s="269"/>
      <c r="O90" s="364"/>
      <c r="AF90" s="306"/>
      <c r="AG90" s="306"/>
      <c r="AJ90" s="303"/>
      <c r="AK90" s="359"/>
      <c r="AL90" s="303"/>
      <c r="AM90" s="303"/>
    </row>
    <row r="91" spans="1:39" ht="19.5" customHeight="1" x14ac:dyDescent="0.2">
      <c r="B91" s="369"/>
      <c r="C91" s="369"/>
      <c r="D91" s="269"/>
      <c r="E91" s="276"/>
      <c r="F91" s="269"/>
      <c r="G91" s="364"/>
      <c r="H91" s="364"/>
      <c r="I91" s="276"/>
      <c r="J91" s="388"/>
      <c r="K91" s="388"/>
      <c r="L91" s="388"/>
      <c r="M91" s="388"/>
      <c r="N91" s="388"/>
      <c r="O91" s="364"/>
      <c r="AF91" s="306"/>
      <c r="AG91" s="306"/>
      <c r="AJ91" s="303"/>
      <c r="AK91" s="359"/>
      <c r="AL91" s="303"/>
      <c r="AM91" s="303"/>
    </row>
    <row r="92" spans="1:39" ht="19.5" customHeight="1" x14ac:dyDescent="0.2">
      <c r="B92" s="386"/>
      <c r="C92" s="386"/>
      <c r="D92" s="386"/>
      <c r="E92" s="386"/>
      <c r="F92" s="386"/>
      <c r="G92" s="386"/>
      <c r="H92" s="386"/>
      <c r="I92" s="386"/>
      <c r="J92" s="386"/>
      <c r="K92" s="386"/>
      <c r="L92" s="386"/>
      <c r="M92" s="386"/>
      <c r="N92" s="386"/>
      <c r="O92" s="364"/>
      <c r="AF92" s="306"/>
      <c r="AG92" s="306"/>
      <c r="AJ92" s="303"/>
      <c r="AK92" s="359"/>
      <c r="AL92" s="303"/>
      <c r="AM92" s="303"/>
    </row>
    <row r="93" spans="1:39" ht="19.5" customHeight="1" x14ac:dyDescent="0.2">
      <c r="B93" s="386"/>
      <c r="C93" s="386"/>
      <c r="D93" s="386"/>
      <c r="E93" s="386"/>
      <c r="F93" s="386"/>
      <c r="G93" s="386"/>
      <c r="H93" s="386"/>
      <c r="I93" s="386"/>
      <c r="J93" s="386"/>
      <c r="K93" s="386"/>
      <c r="L93" s="386"/>
      <c r="M93" s="386"/>
      <c r="N93" s="386"/>
      <c r="O93" s="364"/>
      <c r="AF93" s="306"/>
      <c r="AG93" s="306"/>
      <c r="AJ93" s="303"/>
      <c r="AK93" s="304"/>
      <c r="AL93" s="303"/>
      <c r="AM93" s="303"/>
    </row>
    <row r="94" spans="1:39" ht="19.5" customHeight="1" x14ac:dyDescent="0.2">
      <c r="B94" s="369"/>
      <c r="C94" s="369"/>
      <c r="D94" s="269"/>
      <c r="E94" s="276"/>
      <c r="F94" s="269"/>
      <c r="G94" s="364"/>
      <c r="H94" s="364"/>
      <c r="I94" s="364"/>
      <c r="J94" s="364"/>
      <c r="K94" s="364"/>
      <c r="L94" s="389"/>
      <c r="M94" s="389"/>
      <c r="N94" s="364"/>
      <c r="O94" s="364"/>
      <c r="AF94" s="306"/>
      <c r="AG94" s="306"/>
      <c r="AJ94" s="303"/>
      <c r="AK94" s="304"/>
      <c r="AL94" s="303"/>
      <c r="AM94" s="303"/>
    </row>
    <row r="95" spans="1:39" ht="19.5" customHeight="1" x14ac:dyDescent="0.2">
      <c r="B95" s="369"/>
      <c r="C95" s="369"/>
      <c r="D95" s="269"/>
      <c r="E95" s="276"/>
      <c r="F95" s="269"/>
      <c r="G95" s="364"/>
      <c r="H95" s="364"/>
      <c r="I95" s="364"/>
      <c r="K95" s="268"/>
      <c r="L95" s="269"/>
      <c r="M95" s="268"/>
      <c r="N95" s="269"/>
      <c r="O95" s="364"/>
      <c r="AF95" s="306"/>
      <c r="AG95" s="306"/>
      <c r="AJ95" s="303"/>
      <c r="AK95" s="304"/>
      <c r="AL95" s="303"/>
      <c r="AM95" s="303"/>
    </row>
    <row r="96" spans="1:39" ht="19.5" customHeight="1" x14ac:dyDescent="0.2">
      <c r="B96" s="369"/>
      <c r="C96" s="369"/>
      <c r="D96" s="269"/>
      <c r="E96" s="276"/>
      <c r="F96" s="269"/>
      <c r="G96" s="364"/>
      <c r="H96" s="364"/>
      <c r="I96" s="276"/>
      <c r="J96" s="388"/>
      <c r="K96" s="388"/>
      <c r="L96" s="388"/>
      <c r="M96" s="388"/>
      <c r="N96" s="388"/>
      <c r="O96" s="364"/>
      <c r="AF96" s="306"/>
      <c r="AG96" s="306"/>
      <c r="AJ96" s="303"/>
      <c r="AK96" s="304"/>
      <c r="AL96" s="303"/>
      <c r="AM96" s="303"/>
    </row>
    <row r="97" spans="1:39" ht="19.5" customHeight="1" x14ac:dyDescent="0.2">
      <c r="B97" s="386"/>
      <c r="C97" s="386"/>
      <c r="D97" s="386"/>
      <c r="E97" s="386"/>
      <c r="F97" s="386"/>
      <c r="G97" s="386"/>
      <c r="H97" s="386"/>
      <c r="I97" s="386"/>
      <c r="J97" s="386"/>
      <c r="K97" s="386"/>
      <c r="L97" s="386"/>
      <c r="M97" s="386"/>
      <c r="N97" s="386"/>
      <c r="O97" s="364"/>
      <c r="AF97" s="306"/>
      <c r="AG97" s="306"/>
      <c r="AJ97" s="303"/>
      <c r="AK97" s="304"/>
      <c r="AL97" s="303"/>
      <c r="AM97" s="303"/>
    </row>
    <row r="98" spans="1:39" ht="19.5" customHeight="1" x14ac:dyDescent="0.2">
      <c r="B98" s="386"/>
      <c r="C98" s="386"/>
      <c r="D98" s="386"/>
      <c r="E98" s="386"/>
      <c r="F98" s="386"/>
      <c r="G98" s="386"/>
      <c r="H98" s="386"/>
      <c r="I98" s="386"/>
      <c r="J98" s="386"/>
      <c r="K98" s="386"/>
      <c r="L98" s="386"/>
      <c r="M98" s="386"/>
      <c r="N98" s="386"/>
      <c r="O98" s="364"/>
      <c r="AF98" s="306"/>
      <c r="AG98" s="306"/>
      <c r="AJ98" s="303"/>
      <c r="AK98" s="304"/>
      <c r="AL98" s="303"/>
      <c r="AM98" s="303"/>
    </row>
    <row r="99" spans="1:39" ht="9.75" customHeight="1" x14ac:dyDescent="0.2">
      <c r="B99" s="369"/>
      <c r="C99" s="369"/>
      <c r="D99" s="269"/>
      <c r="E99" s="276"/>
      <c r="F99" s="269"/>
      <c r="G99" s="364"/>
      <c r="H99" s="364"/>
      <c r="I99" s="364"/>
      <c r="J99" s="364"/>
      <c r="K99" s="364"/>
      <c r="L99" s="364"/>
      <c r="M99" s="364"/>
      <c r="N99" s="364"/>
      <c r="O99" s="364"/>
      <c r="AF99" s="306"/>
      <c r="AG99" s="306"/>
      <c r="AJ99" s="303"/>
      <c r="AK99" s="304"/>
      <c r="AL99" s="303"/>
      <c r="AM99" s="303"/>
    </row>
    <row r="100" spans="1:39" ht="19.5" customHeight="1" x14ac:dyDescent="0.2">
      <c r="B100" s="366"/>
      <c r="C100" s="367"/>
      <c r="D100" s="367"/>
      <c r="E100" s="367"/>
      <c r="M100" s="276"/>
      <c r="AF100" s="306"/>
      <c r="AG100" s="306"/>
      <c r="AJ100" s="303"/>
      <c r="AK100" s="304"/>
      <c r="AL100" s="303"/>
      <c r="AM100" s="303"/>
    </row>
    <row r="101" spans="1:39" ht="19.5" customHeight="1" x14ac:dyDescent="0.2">
      <c r="B101" s="369"/>
      <c r="C101" s="369"/>
      <c r="D101" s="269"/>
      <c r="E101" s="276"/>
      <c r="F101" s="269"/>
      <c r="G101" s="364"/>
      <c r="H101" s="364"/>
      <c r="I101" s="364"/>
      <c r="K101" s="268"/>
      <c r="L101" s="269"/>
      <c r="M101" s="268"/>
      <c r="N101" s="269"/>
      <c r="O101" s="364"/>
      <c r="P101" s="369"/>
      <c r="Q101" s="364"/>
      <c r="R101" s="364"/>
      <c r="S101" s="364"/>
      <c r="T101" s="364"/>
      <c r="U101" s="364"/>
      <c r="V101" s="364"/>
      <c r="W101" s="364"/>
      <c r="X101" s="364"/>
      <c r="Y101" s="364"/>
      <c r="Z101" s="364"/>
      <c r="AA101" s="364"/>
      <c r="AB101" s="364"/>
      <c r="AC101" s="364"/>
      <c r="AD101" s="364"/>
      <c r="AE101" s="248"/>
      <c r="AF101" s="306"/>
      <c r="AG101" s="306"/>
      <c r="AJ101" s="303"/>
      <c r="AK101" s="304"/>
      <c r="AL101" s="303"/>
      <c r="AM101" s="303"/>
    </row>
    <row r="102" spans="1:39" ht="19.5" customHeight="1" x14ac:dyDescent="0.2">
      <c r="B102" s="369"/>
      <c r="C102" s="369"/>
      <c r="D102" s="269"/>
      <c r="E102" s="276"/>
      <c r="F102" s="276"/>
      <c r="G102" s="361"/>
      <c r="H102" s="361"/>
      <c r="I102" s="361"/>
      <c r="J102" s="361"/>
      <c r="K102" s="361"/>
      <c r="L102" s="361"/>
      <c r="M102" s="361"/>
      <c r="N102" s="361"/>
      <c r="O102" s="364"/>
      <c r="P102" s="369"/>
      <c r="Q102" s="369"/>
      <c r="R102" s="369"/>
      <c r="S102" s="377"/>
      <c r="T102" s="364"/>
      <c r="U102" s="369"/>
      <c r="V102" s="369"/>
      <c r="W102" s="377"/>
      <c r="X102" s="364"/>
      <c r="Y102" s="364"/>
      <c r="Z102" s="364"/>
      <c r="AA102" s="364"/>
      <c r="AB102" s="369"/>
      <c r="AC102" s="369"/>
      <c r="AD102" s="377"/>
      <c r="AE102" s="248"/>
      <c r="AF102" s="306"/>
      <c r="AG102" s="306"/>
      <c r="AJ102" s="303"/>
      <c r="AK102" s="304"/>
      <c r="AL102" s="303"/>
      <c r="AM102" s="303"/>
    </row>
    <row r="103" spans="1:39" ht="19.5" customHeight="1" x14ac:dyDescent="0.2">
      <c r="B103" s="386"/>
      <c r="C103" s="386"/>
      <c r="D103" s="386"/>
      <c r="E103" s="386"/>
      <c r="F103" s="386"/>
      <c r="G103" s="386"/>
      <c r="H103" s="386"/>
      <c r="I103" s="386"/>
      <c r="J103" s="386"/>
      <c r="K103" s="386"/>
      <c r="L103" s="386"/>
      <c r="M103" s="386"/>
      <c r="N103" s="386"/>
      <c r="O103" s="364"/>
      <c r="P103" s="369"/>
      <c r="Q103" s="364"/>
      <c r="R103" s="364"/>
      <c r="S103" s="364"/>
      <c r="T103" s="364"/>
      <c r="U103" s="364"/>
      <c r="V103" s="364"/>
      <c r="W103" s="364"/>
      <c r="AB103" s="268"/>
      <c r="AC103" s="269"/>
      <c r="AD103" s="268"/>
      <c r="AE103" s="269"/>
      <c r="AF103" s="306"/>
      <c r="AG103" s="306"/>
      <c r="AJ103" s="303"/>
      <c r="AK103" s="304"/>
      <c r="AL103" s="303"/>
      <c r="AM103" s="303"/>
    </row>
    <row r="104" spans="1:39" ht="19.5" customHeight="1" x14ac:dyDescent="0.2">
      <c r="B104" s="386"/>
      <c r="C104" s="386"/>
      <c r="D104" s="386"/>
      <c r="E104" s="386"/>
      <c r="F104" s="386"/>
      <c r="G104" s="386"/>
      <c r="H104" s="386"/>
      <c r="I104" s="386"/>
      <c r="J104" s="386"/>
      <c r="K104" s="386"/>
      <c r="L104" s="386"/>
      <c r="M104" s="386"/>
      <c r="N104" s="386"/>
      <c r="O104" s="364"/>
      <c r="P104" s="269"/>
      <c r="Q104" s="269"/>
      <c r="R104" s="269"/>
      <c r="S104" s="269"/>
      <c r="T104" s="361"/>
      <c r="U104" s="361"/>
      <c r="V104" s="361"/>
      <c r="W104" s="361"/>
      <c r="X104" s="361"/>
      <c r="Y104" s="361"/>
      <c r="Z104" s="361"/>
      <c r="AA104" s="361"/>
      <c r="AB104" s="361"/>
      <c r="AC104" s="361"/>
      <c r="AD104" s="361"/>
      <c r="AE104" s="361"/>
      <c r="AF104" s="306"/>
      <c r="AG104" s="306"/>
      <c r="AJ104" s="303"/>
      <c r="AK104" s="304"/>
      <c r="AL104" s="303"/>
      <c r="AM104" s="303"/>
    </row>
    <row r="105" spans="1:39" ht="19.5" customHeight="1" x14ac:dyDescent="0.2">
      <c r="B105" s="369"/>
      <c r="C105" s="369"/>
      <c r="D105" s="269"/>
      <c r="E105" s="276"/>
      <c r="F105" s="269"/>
      <c r="G105" s="364"/>
      <c r="H105" s="364"/>
      <c r="I105" s="364"/>
      <c r="J105" s="364"/>
      <c r="K105" s="364"/>
      <c r="L105" s="364"/>
      <c r="M105" s="364"/>
      <c r="N105" s="364"/>
      <c r="O105" s="364"/>
      <c r="P105" s="386"/>
      <c r="Q105" s="386"/>
      <c r="R105" s="386"/>
      <c r="S105" s="386"/>
      <c r="T105" s="386"/>
      <c r="U105" s="386"/>
      <c r="V105" s="386"/>
      <c r="W105" s="386"/>
      <c r="X105" s="386"/>
      <c r="Y105" s="386"/>
      <c r="Z105" s="386"/>
      <c r="AA105" s="386"/>
      <c r="AB105" s="386"/>
      <c r="AC105" s="386"/>
      <c r="AD105" s="386"/>
      <c r="AE105" s="386"/>
      <c r="AF105" s="306"/>
      <c r="AG105" s="306"/>
      <c r="AJ105" s="303"/>
      <c r="AK105" s="304"/>
      <c r="AL105" s="303"/>
      <c r="AM105" s="303"/>
    </row>
    <row r="106" spans="1:39" ht="19.5" customHeight="1" x14ac:dyDescent="0.2">
      <c r="B106" s="276"/>
      <c r="C106" s="386"/>
      <c r="D106" s="386"/>
      <c r="E106" s="386"/>
      <c r="F106" s="386"/>
      <c r="G106" s="386"/>
      <c r="H106" s="386"/>
      <c r="I106" s="386"/>
      <c r="J106" s="386"/>
      <c r="K106" s="386"/>
      <c r="L106" s="386"/>
      <c r="M106" s="386"/>
      <c r="N106" s="386"/>
      <c r="O106" s="364"/>
      <c r="P106" s="269"/>
      <c r="Q106" s="273"/>
      <c r="R106" s="273"/>
      <c r="S106" s="273"/>
      <c r="T106" s="273"/>
      <c r="U106" s="273"/>
      <c r="V106" s="273"/>
      <c r="W106" s="273"/>
      <c r="AB106" s="268"/>
      <c r="AC106" s="269"/>
      <c r="AD106" s="268"/>
      <c r="AE106" s="269"/>
      <c r="AF106" s="306"/>
      <c r="AG106" s="306"/>
      <c r="AJ106" s="303"/>
      <c r="AK106" s="304"/>
      <c r="AL106" s="303"/>
      <c r="AM106" s="303"/>
    </row>
    <row r="107" spans="1:39" ht="19.5" customHeight="1" x14ac:dyDescent="0.2">
      <c r="B107" s="386"/>
      <c r="C107" s="386"/>
      <c r="D107" s="386"/>
      <c r="E107" s="386"/>
      <c r="F107" s="386"/>
      <c r="G107" s="386"/>
      <c r="H107" s="386"/>
      <c r="I107" s="386"/>
      <c r="J107" s="386"/>
      <c r="K107" s="386"/>
      <c r="L107" s="386"/>
      <c r="M107" s="386"/>
      <c r="N107" s="386"/>
      <c r="O107" s="356"/>
      <c r="P107" s="269"/>
      <c r="Q107" s="269"/>
      <c r="R107" s="269"/>
      <c r="S107" s="269"/>
      <c r="T107" s="269"/>
      <c r="U107" s="269"/>
      <c r="V107" s="269"/>
      <c r="W107" s="269"/>
      <c r="AB107" s="268"/>
      <c r="AC107" s="269"/>
      <c r="AD107" s="268"/>
      <c r="AE107" s="269"/>
      <c r="AF107" s="306"/>
      <c r="AG107" s="306"/>
      <c r="AJ107" s="303"/>
      <c r="AK107" s="304"/>
      <c r="AL107" s="303"/>
      <c r="AM107" s="303"/>
    </row>
    <row r="108" spans="1:39" ht="19.5" customHeight="1" x14ac:dyDescent="0.2">
      <c r="B108" s="386"/>
      <c r="C108" s="386"/>
      <c r="D108" s="386"/>
      <c r="E108" s="386"/>
      <c r="F108" s="386"/>
      <c r="G108" s="386"/>
      <c r="H108" s="386"/>
      <c r="I108" s="386"/>
      <c r="J108" s="386"/>
      <c r="K108" s="386"/>
      <c r="L108" s="386"/>
      <c r="M108" s="386"/>
      <c r="N108" s="386"/>
      <c r="O108" s="356"/>
      <c r="P108" s="269"/>
      <c r="Q108" s="269"/>
      <c r="R108" s="269"/>
      <c r="S108" s="269"/>
      <c r="T108" s="269"/>
      <c r="U108" s="269"/>
      <c r="V108" s="269"/>
      <c r="W108" s="269"/>
      <c r="X108" s="269"/>
      <c r="Y108" s="269"/>
      <c r="Z108" s="269"/>
      <c r="AA108" s="269"/>
      <c r="AB108" s="269"/>
      <c r="AC108" s="269"/>
      <c r="AD108" s="269"/>
      <c r="AE108" s="269"/>
      <c r="AF108" s="306"/>
      <c r="AG108" s="306"/>
      <c r="AJ108" s="303"/>
      <c r="AK108" s="304"/>
      <c r="AL108" s="303"/>
      <c r="AM108" s="303"/>
    </row>
    <row r="109" spans="1:39" ht="19.5" customHeight="1" x14ac:dyDescent="0.2">
      <c r="B109" s="386"/>
      <c r="C109" s="386"/>
      <c r="D109" s="386"/>
      <c r="E109" s="386"/>
      <c r="F109" s="386"/>
      <c r="G109" s="386"/>
      <c r="H109" s="386"/>
      <c r="I109" s="386"/>
      <c r="J109" s="386"/>
      <c r="K109" s="386"/>
      <c r="L109" s="386"/>
      <c r="M109" s="386"/>
      <c r="N109" s="386"/>
      <c r="O109" s="356"/>
      <c r="P109" s="276"/>
      <c r="Q109" s="386"/>
      <c r="R109" s="386"/>
      <c r="S109" s="386"/>
      <c r="T109" s="386"/>
      <c r="U109" s="386"/>
      <c r="V109" s="386"/>
      <c r="W109" s="386"/>
      <c r="X109" s="386"/>
      <c r="Y109" s="386"/>
      <c r="Z109" s="386"/>
      <c r="AA109" s="386"/>
      <c r="AB109" s="386"/>
      <c r="AC109" s="386"/>
      <c r="AD109" s="386"/>
      <c r="AE109" s="386"/>
      <c r="AF109" s="306"/>
      <c r="AG109" s="306"/>
      <c r="AJ109" s="303"/>
      <c r="AK109" s="304"/>
      <c r="AL109" s="303"/>
      <c r="AM109" s="303"/>
    </row>
    <row r="110" spans="1:39" ht="19.5" customHeight="1" x14ac:dyDescent="0.2">
      <c r="B110" s="386"/>
      <c r="C110" s="386"/>
      <c r="D110" s="386"/>
      <c r="E110" s="386"/>
      <c r="F110" s="386"/>
      <c r="G110" s="386"/>
      <c r="H110" s="386"/>
      <c r="I110" s="386"/>
      <c r="J110" s="386"/>
      <c r="K110" s="386"/>
      <c r="L110" s="386"/>
      <c r="M110" s="386"/>
      <c r="N110" s="386"/>
      <c r="P110" s="386"/>
      <c r="Q110" s="386"/>
      <c r="R110" s="386"/>
      <c r="S110" s="386"/>
      <c r="T110" s="386"/>
      <c r="U110" s="386"/>
      <c r="V110" s="386"/>
      <c r="W110" s="386"/>
      <c r="X110" s="386"/>
      <c r="Y110" s="386"/>
      <c r="Z110" s="386"/>
      <c r="AA110" s="386"/>
      <c r="AB110" s="386"/>
      <c r="AC110" s="386"/>
      <c r="AD110" s="386"/>
      <c r="AE110" s="386"/>
      <c r="AF110" s="306"/>
      <c r="AG110" s="306"/>
      <c r="AJ110" s="303"/>
      <c r="AK110" s="304"/>
      <c r="AL110" s="303"/>
      <c r="AM110" s="303"/>
    </row>
    <row r="111" spans="1:39" ht="19.5" customHeight="1" x14ac:dyDescent="0.2">
      <c r="B111" s="269"/>
      <c r="C111" s="269"/>
      <c r="D111" s="269"/>
      <c r="E111" s="269"/>
      <c r="F111" s="269"/>
      <c r="G111" s="269"/>
      <c r="H111" s="269"/>
      <c r="I111" s="269"/>
      <c r="J111" s="269"/>
      <c r="K111" s="269"/>
      <c r="L111" s="269"/>
      <c r="M111" s="269"/>
      <c r="N111" s="269"/>
      <c r="P111" s="390"/>
      <c r="Q111" s="390"/>
      <c r="R111" s="390"/>
      <c r="S111" s="390"/>
      <c r="T111" s="390"/>
      <c r="U111" s="390"/>
      <c r="V111" s="390"/>
      <c r="W111" s="390"/>
      <c r="X111" s="390"/>
      <c r="Y111" s="390"/>
      <c r="Z111" s="390"/>
      <c r="AA111" s="390"/>
      <c r="AB111" s="390"/>
      <c r="AC111" s="269"/>
      <c r="AD111" s="269"/>
      <c r="AE111" s="269"/>
    </row>
    <row r="112" spans="1:39" ht="23.25" customHeight="1" x14ac:dyDescent="0.2">
      <c r="A112" s="249"/>
      <c r="B112" s="249"/>
      <c r="C112" s="249"/>
      <c r="D112" s="249"/>
      <c r="E112" s="249"/>
      <c r="F112" s="249"/>
      <c r="G112" s="249"/>
      <c r="H112" s="249"/>
      <c r="I112" s="249"/>
      <c r="J112" s="249"/>
      <c r="K112" s="249"/>
      <c r="L112" s="249"/>
      <c r="M112" s="249"/>
      <c r="N112" s="249"/>
      <c r="P112" s="390"/>
      <c r="Q112" s="390"/>
      <c r="R112" s="390"/>
      <c r="S112" s="390"/>
      <c r="T112" s="390"/>
      <c r="U112" s="390"/>
      <c r="V112" s="390"/>
      <c r="W112" s="390"/>
      <c r="X112" s="390"/>
      <c r="Y112" s="390"/>
      <c r="Z112" s="390"/>
      <c r="AA112" s="390"/>
      <c r="AB112" s="391"/>
      <c r="AC112" s="269"/>
      <c r="AD112" s="269"/>
      <c r="AE112" s="269"/>
    </row>
    <row r="113" spans="1:31" ht="19.5" customHeight="1" x14ac:dyDescent="0.2">
      <c r="B113" s="269"/>
      <c r="C113" s="269"/>
      <c r="D113" s="269"/>
      <c r="E113" s="269"/>
      <c r="F113" s="269"/>
      <c r="G113" s="269"/>
      <c r="H113" s="269"/>
      <c r="I113" s="269"/>
      <c r="J113" s="269"/>
      <c r="K113" s="269"/>
      <c r="L113" s="269"/>
      <c r="M113" s="269"/>
      <c r="N113" s="269"/>
      <c r="P113" s="390"/>
      <c r="Q113" s="390"/>
      <c r="R113" s="390"/>
      <c r="S113" s="390"/>
      <c r="T113" s="390"/>
      <c r="U113" s="390"/>
      <c r="V113" s="390"/>
      <c r="W113" s="390"/>
      <c r="X113" s="390"/>
      <c r="Y113" s="390"/>
      <c r="Z113" s="390"/>
      <c r="AA113" s="390"/>
      <c r="AB113" s="390"/>
      <c r="AC113" s="269"/>
      <c r="AD113" s="269"/>
      <c r="AE113" s="269"/>
    </row>
    <row r="114" spans="1:31" ht="39" customHeight="1" x14ac:dyDescent="0.2">
      <c r="B114" s="288"/>
      <c r="C114" s="288"/>
      <c r="D114" s="288"/>
      <c r="E114" s="288"/>
      <c r="F114" s="288"/>
      <c r="G114" s="288"/>
      <c r="I114" s="288"/>
      <c r="J114" s="288"/>
      <c r="K114" s="288"/>
      <c r="L114" s="288"/>
      <c r="M114" s="288"/>
      <c r="N114" s="288"/>
      <c r="P114" s="392"/>
      <c r="Q114" s="392"/>
      <c r="R114" s="392"/>
      <c r="S114" s="392"/>
      <c r="T114" s="392"/>
      <c r="U114" s="392"/>
      <c r="W114" s="288"/>
      <c r="X114" s="288"/>
      <c r="Y114" s="288"/>
      <c r="Z114" s="288"/>
      <c r="AA114" s="288"/>
      <c r="AB114" s="288"/>
      <c r="AC114" s="288"/>
      <c r="AD114" s="288"/>
      <c r="AE114" s="288"/>
    </row>
    <row r="115" spans="1:31" ht="19.5" customHeight="1" x14ac:dyDescent="0.2">
      <c r="A115" s="249"/>
    </row>
    <row r="116" spans="1:31" ht="19.5" customHeight="1" x14ac:dyDescent="0.2"/>
    <row r="117" spans="1:31" ht="19.5" customHeight="1" x14ac:dyDescent="0.2"/>
    <row r="118" spans="1:31" ht="19.5" customHeight="1" x14ac:dyDescent="0.2"/>
    <row r="119" spans="1:31" ht="19.5" customHeight="1" x14ac:dyDescent="0.2"/>
    <row r="120" spans="1:31" ht="19.5" customHeight="1" x14ac:dyDescent="0.2"/>
    <row r="121" spans="1:31" ht="19.5" customHeight="1" x14ac:dyDescent="0.2"/>
    <row r="122" spans="1:31" ht="19.5" customHeight="1" x14ac:dyDescent="0.2"/>
    <row r="123" spans="1:31" ht="19.5" customHeight="1" x14ac:dyDescent="0.2"/>
  </sheetData>
  <mergeCells count="126">
    <mergeCell ref="AT7:AT12"/>
    <mergeCell ref="W46:X46"/>
    <mergeCell ref="AB46:AC46"/>
    <mergeCell ref="J44:K44"/>
    <mergeCell ref="M44:N44"/>
    <mergeCell ref="J45:K45"/>
    <mergeCell ref="M45:N45"/>
    <mergeCell ref="P45:T46"/>
    <mergeCell ref="J46:K46"/>
    <mergeCell ref="M46:N46"/>
    <mergeCell ref="W40:X40"/>
    <mergeCell ref="AB40:AC40"/>
    <mergeCell ref="J41:K41"/>
    <mergeCell ref="M41:N41"/>
    <mergeCell ref="J42:K42"/>
    <mergeCell ref="M42:N42"/>
    <mergeCell ref="P42:T43"/>
    <mergeCell ref="W43:X43"/>
    <mergeCell ref="AB43:AC43"/>
    <mergeCell ref="J38:K38"/>
    <mergeCell ref="M38:N38"/>
    <mergeCell ref="J39:K39"/>
    <mergeCell ref="M39:N39"/>
    <mergeCell ref="P39:T40"/>
    <mergeCell ref="J40:K40"/>
    <mergeCell ref="M40:N40"/>
    <mergeCell ref="J36:K36"/>
    <mergeCell ref="M36:N36"/>
    <mergeCell ref="J37:K37"/>
    <mergeCell ref="M37:N37"/>
    <mergeCell ref="W37:X37"/>
    <mergeCell ref="AB37:AC37"/>
    <mergeCell ref="AB33:AC33"/>
    <mergeCell ref="J34:K34"/>
    <mergeCell ref="M34:N34"/>
    <mergeCell ref="P34:T35"/>
    <mergeCell ref="J35:K35"/>
    <mergeCell ref="M35:N35"/>
    <mergeCell ref="W35:X35"/>
    <mergeCell ref="AB35:AC35"/>
    <mergeCell ref="J32:K32"/>
    <mergeCell ref="M32:N32"/>
    <mergeCell ref="P32:T33"/>
    <mergeCell ref="J33:K33"/>
    <mergeCell ref="M33:N33"/>
    <mergeCell ref="W33:X33"/>
    <mergeCell ref="P28:T29"/>
    <mergeCell ref="W29:X29"/>
    <mergeCell ref="AB29:AC29"/>
    <mergeCell ref="J30:K30"/>
    <mergeCell ref="M30:N30"/>
    <mergeCell ref="P30:T31"/>
    <mergeCell ref="J31:K31"/>
    <mergeCell ref="M31:N31"/>
    <mergeCell ref="W31:X31"/>
    <mergeCell ref="AB31:AC31"/>
    <mergeCell ref="AB25:AC25"/>
    <mergeCell ref="J26:K26"/>
    <mergeCell ref="M26:N26"/>
    <mergeCell ref="P26:T27"/>
    <mergeCell ref="J27:K27"/>
    <mergeCell ref="M27:N27"/>
    <mergeCell ref="W27:X27"/>
    <mergeCell ref="AB27:AC27"/>
    <mergeCell ref="W22:X22"/>
    <mergeCell ref="AB22:AC22"/>
    <mergeCell ref="J23:K23"/>
    <mergeCell ref="M23:N23"/>
    <mergeCell ref="J24:K24"/>
    <mergeCell ref="M24:N24"/>
    <mergeCell ref="P24:T25"/>
    <mergeCell ref="J25:K25"/>
    <mergeCell ref="M25:N25"/>
    <mergeCell ref="W25:X25"/>
    <mergeCell ref="J20:K20"/>
    <mergeCell ref="M20:N20"/>
    <mergeCell ref="W20:X20"/>
    <mergeCell ref="AB20:AC20"/>
    <mergeCell ref="J17:K17"/>
    <mergeCell ref="M17:N17"/>
    <mergeCell ref="J18:K18"/>
    <mergeCell ref="M18:N18"/>
    <mergeCell ref="W18:X18"/>
    <mergeCell ref="AB18:AC18"/>
    <mergeCell ref="AB12:AC12"/>
    <mergeCell ref="J13:K13"/>
    <mergeCell ref="M13:N13"/>
    <mergeCell ref="P13:T14"/>
    <mergeCell ref="J14:K14"/>
    <mergeCell ref="M14:N14"/>
    <mergeCell ref="W14:X14"/>
    <mergeCell ref="J19:K19"/>
    <mergeCell ref="M19:N19"/>
    <mergeCell ref="H1:J1"/>
    <mergeCell ref="K1:AE1"/>
    <mergeCell ref="AA2:AB2"/>
    <mergeCell ref="AC2:AE2"/>
    <mergeCell ref="B5:N8"/>
    <mergeCell ref="W6:X6"/>
    <mergeCell ref="AB6:AC6"/>
    <mergeCell ref="W8:X8"/>
    <mergeCell ref="AB8:AC8"/>
    <mergeCell ref="C49:M55"/>
    <mergeCell ref="C57:M58"/>
    <mergeCell ref="W48:X48"/>
    <mergeCell ref="AB48:AC48"/>
    <mergeCell ref="W50:X50"/>
    <mergeCell ref="AB50:AC50"/>
    <mergeCell ref="P9:T10"/>
    <mergeCell ref="J10:K10"/>
    <mergeCell ref="M10:N10"/>
    <mergeCell ref="W10:X10"/>
    <mergeCell ref="AB10:AC10"/>
    <mergeCell ref="J11:K11"/>
    <mergeCell ref="M11:N11"/>
    <mergeCell ref="AB14:AC14"/>
    <mergeCell ref="J15:K15"/>
    <mergeCell ref="M15:N15"/>
    <mergeCell ref="P15:T16"/>
    <mergeCell ref="J16:K16"/>
    <mergeCell ref="M16:N16"/>
    <mergeCell ref="W16:X16"/>
    <mergeCell ref="AB16:AC16"/>
    <mergeCell ref="J12:K12"/>
    <mergeCell ref="M12:N12"/>
    <mergeCell ref="W12:X12"/>
  </mergeCells>
  <phoneticPr fontId="160" type="noConversion"/>
  <conditionalFormatting sqref="G32">
    <cfRule type="expression" dxfId="74" priority="50">
      <formula>OR($J$32&gt;0.6,$N$32&gt;0.6)</formula>
    </cfRule>
  </conditionalFormatting>
  <conditionalFormatting sqref="Z10">
    <cfRule type="expression" dxfId="73" priority="51" stopIfTrue="1">
      <formula>AND($W$10&gt;=1,$W$10&lt;=3)</formula>
    </cfRule>
    <cfRule type="expression" dxfId="72" priority="52" stopIfTrue="1">
      <formula>OR($W$10&lt;0.8,$W$10&gt;=3.3)</formula>
    </cfRule>
    <cfRule type="expression" dxfId="71" priority="53" stopIfTrue="1">
      <formula>OR(AND($W$10&gt;=0.8,$W$10&lt;1),AND($W$10&gt;3,$W$10&lt;3.3))</formula>
    </cfRule>
  </conditionalFormatting>
  <conditionalFormatting sqref="AE10">
    <cfRule type="expression" dxfId="70" priority="47" stopIfTrue="1">
      <formula>AND($AB$10&gt;=1,$AB$10&lt;=3)</formula>
    </cfRule>
    <cfRule type="expression" dxfId="69" priority="48" stopIfTrue="1">
      <formula>OR($AB$10&lt;0.8,$AB$10&gt;=3.3)</formula>
    </cfRule>
    <cfRule type="expression" dxfId="68" priority="49" stopIfTrue="1">
      <formula>OR(AND($AB$10&gt;=0.8,$AB$10&lt;1),AND($AB$10&gt;3,$AB$10&lt;3.3))</formula>
    </cfRule>
  </conditionalFormatting>
  <conditionalFormatting sqref="Z12">
    <cfRule type="expression" dxfId="67" priority="54" stopIfTrue="1">
      <formula>AND($W$12&gt;=25,$W$12&lt;=70)</formula>
    </cfRule>
    <cfRule type="expression" dxfId="66" priority="55" stopIfTrue="1">
      <formula>OR($W$12&lt;20,$W$12&gt;75)</formula>
    </cfRule>
    <cfRule type="expression" dxfId="65" priority="56" stopIfTrue="1">
      <formula>OR(AND($W$12&gt;=20,$W$12&lt;25),AND($W$12&gt;70,$W$12&lt;=75))</formula>
    </cfRule>
  </conditionalFormatting>
  <conditionalFormatting sqref="AE12">
    <cfRule type="expression" dxfId="64" priority="44" stopIfTrue="1">
      <formula>AND($AB$12&gt;=25,$AB$12&lt;=70)</formula>
    </cfRule>
    <cfRule type="expression" dxfId="63" priority="45" stopIfTrue="1">
      <formula>OR($AB$12&lt;20,$AB$12&gt;75)</formula>
    </cfRule>
    <cfRule type="expression" dxfId="62" priority="46" stopIfTrue="1">
      <formula>OR(AND($AB$12&gt;=20,$AB$12&lt;25),AND($AB$12&gt;70,$AB$12&lt;=75))</formula>
    </cfRule>
  </conditionalFormatting>
  <conditionalFormatting sqref="Z20">
    <cfRule type="expression" dxfId="61" priority="57" stopIfTrue="1">
      <formula>AND($W$20&gt;=3,$W$20&lt;=6)</formula>
    </cfRule>
    <cfRule type="expression" dxfId="60" priority="58" stopIfTrue="1">
      <formula>AND($W$20&gt;6,$W$20&lt;10)</formula>
    </cfRule>
    <cfRule type="expression" dxfId="59" priority="59" stopIfTrue="1">
      <formula>OR($W$20&lt;=3,$W$20&gt;=10)</formula>
    </cfRule>
  </conditionalFormatting>
  <conditionalFormatting sqref="AE20">
    <cfRule type="expression" dxfId="58" priority="41" stopIfTrue="1">
      <formula>AND($AB$20&gt;=3,$AB$20&lt;=6)</formula>
    </cfRule>
    <cfRule type="expression" dxfId="57" priority="42" stopIfTrue="1">
      <formula>AND($AB$20&gt;6,$AB$20&lt;10)</formula>
    </cfRule>
    <cfRule type="expression" dxfId="56" priority="43" stopIfTrue="1">
      <formula>OR($AB$20&lt;=3,$AB$20&gt;=10)</formula>
    </cfRule>
  </conditionalFormatting>
  <conditionalFormatting sqref="Z22">
    <cfRule type="expression" dxfId="55" priority="60" stopIfTrue="1">
      <formula>$W$22&lt;=0</formula>
    </cfRule>
  </conditionalFormatting>
  <conditionalFormatting sqref="AE22">
    <cfRule type="expression" dxfId="54" priority="40" stopIfTrue="1">
      <formula>$AB$22&lt;=0</formula>
    </cfRule>
  </conditionalFormatting>
  <conditionalFormatting sqref="Z29">
    <cfRule type="expression" dxfId="53" priority="61" stopIfTrue="1">
      <formula>$W$29&gt;=2</formula>
    </cfRule>
    <cfRule type="expression" dxfId="52" priority="62" stopIfTrue="1">
      <formula>AND($W$29&gt;=0,$W$29&lt;2)</formula>
    </cfRule>
    <cfRule type="expression" dxfId="51" priority="63" stopIfTrue="1">
      <formula>$W$29&lt;=0</formula>
    </cfRule>
  </conditionalFormatting>
  <conditionalFormatting sqref="Z31">
    <cfRule type="expression" dxfId="50" priority="64" stopIfTrue="1">
      <formula>AND($W$31&gt;0,$W$31&lt;=3)</formula>
    </cfRule>
    <cfRule type="expression" dxfId="49" priority="65" stopIfTrue="1">
      <formula>$W$31=0</formula>
    </cfRule>
    <cfRule type="expression" dxfId="48" priority="66" stopIfTrue="1">
      <formula>$W$31&gt;3</formula>
    </cfRule>
  </conditionalFormatting>
  <conditionalFormatting sqref="AE29">
    <cfRule type="expression" dxfId="47" priority="34" stopIfTrue="1">
      <formula>$AB$29&gt;=2</formula>
    </cfRule>
    <cfRule type="expression" dxfId="46" priority="35" stopIfTrue="1">
      <formula>AND($AB$29&gt;=0,$AB$29&lt;2)</formula>
    </cfRule>
    <cfRule type="expression" dxfId="45" priority="36" stopIfTrue="1">
      <formula>$AB$29&lt;=0</formula>
    </cfRule>
  </conditionalFormatting>
  <conditionalFormatting sqref="AE31">
    <cfRule type="expression" dxfId="44" priority="37" stopIfTrue="1">
      <formula>AND($AB$31&gt;0,$AB$31&lt;=3)</formula>
    </cfRule>
    <cfRule type="expression" dxfId="43" priority="38" stopIfTrue="1">
      <formula>$AB$31=0</formula>
    </cfRule>
    <cfRule type="expression" dxfId="42" priority="39" stopIfTrue="1">
      <formula>$AB$31&gt;3</formula>
    </cfRule>
  </conditionalFormatting>
  <conditionalFormatting sqref="Z33">
    <cfRule type="expression" dxfId="41" priority="67" stopIfTrue="1">
      <formula>$W$33&lt;3</formula>
    </cfRule>
    <cfRule type="expression" dxfId="40" priority="68" stopIfTrue="1">
      <formula>AND($W$33&gt;=3,$W$33&lt;=5)</formula>
    </cfRule>
    <cfRule type="expression" dxfId="39" priority="69" stopIfTrue="1">
      <formula>$W$33&gt;5</formula>
    </cfRule>
  </conditionalFormatting>
  <conditionalFormatting sqref="Z35">
    <cfRule type="expression" dxfId="38" priority="70" stopIfTrue="1">
      <formula>$W$35&lt;5</formula>
    </cfRule>
    <cfRule type="expression" dxfId="37" priority="71" stopIfTrue="1">
      <formula>AND($W$35&gt;=5,$W$35&lt;=10)</formula>
    </cfRule>
    <cfRule type="expression" dxfId="36" priority="72" stopIfTrue="1">
      <formula>$W$35&gt;10</formula>
    </cfRule>
  </conditionalFormatting>
  <conditionalFormatting sqref="AE33">
    <cfRule type="expression" dxfId="35" priority="28" stopIfTrue="1">
      <formula>$AB$33&lt;3</formula>
    </cfRule>
    <cfRule type="expression" dxfId="34" priority="29" stopIfTrue="1">
      <formula>AND($AB$33&gt;=3,$AB$33&lt;=5)</formula>
    </cfRule>
    <cfRule type="expression" dxfId="33" priority="30" stopIfTrue="1">
      <formula>$AB$33&gt;5</formula>
    </cfRule>
  </conditionalFormatting>
  <conditionalFormatting sqref="AE35">
    <cfRule type="expression" dxfId="32" priority="31" stopIfTrue="1">
      <formula>$AB$35&lt;5</formula>
    </cfRule>
    <cfRule type="expression" dxfId="31" priority="32" stopIfTrue="1">
      <formula>AND($AB$35&gt;=5,$AB$35&lt;=10)</formula>
    </cfRule>
    <cfRule type="expression" dxfId="30" priority="33" stopIfTrue="1">
      <formula>$AB$35&gt;10</formula>
    </cfRule>
  </conditionalFormatting>
  <conditionalFormatting sqref="Z46">
    <cfRule type="expression" dxfId="29" priority="73" stopIfTrue="1">
      <formula>$W$46&lt;=90</formula>
    </cfRule>
    <cfRule type="expression" dxfId="28" priority="74" stopIfTrue="1">
      <formula>AND($W$46&gt;90,$W$46&lt;=100)</formula>
    </cfRule>
    <cfRule type="expression" dxfId="27" priority="75" stopIfTrue="1">
      <formula>$W$46&gt;100</formula>
    </cfRule>
  </conditionalFormatting>
  <conditionalFormatting sqref="Z43">
    <cfRule type="expression" dxfId="26" priority="76" stopIfTrue="1">
      <formula>$W$43&lt;=100</formula>
    </cfRule>
    <cfRule type="expression" dxfId="25" priority="77" stopIfTrue="1">
      <formula>AND($W$43&gt;100,$W$46&lt;=100)</formula>
    </cfRule>
    <cfRule type="expression" dxfId="24" priority="78" stopIfTrue="1">
      <formula>$W$46&gt;100</formula>
    </cfRule>
  </conditionalFormatting>
  <conditionalFormatting sqref="AE43">
    <cfRule type="expression" dxfId="23" priority="25" stopIfTrue="1">
      <formula>$AB$43&lt;=100</formula>
    </cfRule>
    <cfRule type="expression" dxfId="22" priority="26" stopIfTrue="1">
      <formula>AND($AB$43&gt;100,$AB$46&lt;=100)</formula>
    </cfRule>
    <cfRule type="expression" dxfId="21" priority="27" stopIfTrue="1">
      <formula>$AB$46&gt;100</formula>
    </cfRule>
  </conditionalFormatting>
  <conditionalFormatting sqref="AE46">
    <cfRule type="expression" dxfId="20" priority="22" stopIfTrue="1">
      <formula>$AB$46&lt;=90</formula>
    </cfRule>
    <cfRule type="expression" dxfId="19" priority="23" stopIfTrue="1">
      <formula>AND($AB$46&gt;90,$AB$46&lt;=100)</formula>
    </cfRule>
    <cfRule type="expression" dxfId="18" priority="24" stopIfTrue="1">
      <formula>$AB$46&gt;100</formula>
    </cfRule>
  </conditionalFormatting>
  <conditionalFormatting sqref="Z40">
    <cfRule type="expression" dxfId="17" priority="79" stopIfTrue="1">
      <formula>$W$40&lt;=$J$11</formula>
    </cfRule>
    <cfRule type="expression" dxfId="16" priority="80" stopIfTrue="1">
      <formula>AND($W$40&gt;$J$11,$W$40&lt;=$J$10)</formula>
    </cfRule>
    <cfRule type="expression" dxfId="15" priority="81" stopIfTrue="1">
      <formula>$W$40&gt;$J$10</formula>
    </cfRule>
  </conditionalFormatting>
  <conditionalFormatting sqref="AE40">
    <cfRule type="expression" dxfId="14" priority="82" stopIfTrue="1">
      <formula>$AB$40&lt;=$M$11</formula>
    </cfRule>
    <cfRule type="expression" dxfId="13" priority="83" stopIfTrue="1">
      <formula>AND($AB$40&gt;$M$11,$AB$40&lt;=$M$10)</formula>
    </cfRule>
    <cfRule type="expression" dxfId="12" priority="84" stopIfTrue="1">
      <formula>$AB$40&gt;$M$10</formula>
    </cfRule>
  </conditionalFormatting>
  <conditionalFormatting sqref="Z14">
    <cfRule type="expression" dxfId="11" priority="21" stopIfTrue="1">
      <formula>$W$22&lt;=0</formula>
    </cfRule>
  </conditionalFormatting>
  <conditionalFormatting sqref="Z16">
    <cfRule type="expression" dxfId="10" priority="20" stopIfTrue="1">
      <formula>$W$22&lt;=0</formula>
    </cfRule>
  </conditionalFormatting>
  <conditionalFormatting sqref="AE14">
    <cfRule type="expression" dxfId="9" priority="19" stopIfTrue="1">
      <formula>$W$22&lt;=0</formula>
    </cfRule>
  </conditionalFormatting>
  <conditionalFormatting sqref="AE16">
    <cfRule type="expression" dxfId="8" priority="18" stopIfTrue="1">
      <formula>$W$22&lt;=0</formula>
    </cfRule>
  </conditionalFormatting>
  <conditionalFormatting sqref="AV45:AV46">
    <cfRule type="cellIs" dxfId="7" priority="6" operator="equal">
      <formula>"E"</formula>
    </cfRule>
  </conditionalFormatting>
  <conditionalFormatting sqref="AV10:AV16 AV19">
    <cfRule type="cellIs" dxfId="6" priority="5" operator="equal">
      <formula>"E"</formula>
    </cfRule>
  </conditionalFormatting>
  <conditionalFormatting sqref="AV22:AV27">
    <cfRule type="cellIs" dxfId="5" priority="2" operator="equal">
      <formula>"E"</formula>
    </cfRule>
  </conditionalFormatting>
  <conditionalFormatting sqref="AV29">
    <cfRule type="cellIs" dxfId="4" priority="3" operator="equal">
      <formula>"E"</formula>
    </cfRule>
  </conditionalFormatting>
  <conditionalFormatting sqref="AV31">
    <cfRule type="cellIs" dxfId="3" priority="1" operator="equal">
      <formula>"E"</formula>
    </cfRule>
  </conditionalFormatting>
  <conditionalFormatting sqref="AV34:AV40">
    <cfRule type="cellIs" dxfId="2" priority="4" operator="equal">
      <formula>"E"</formula>
    </cfRule>
  </conditionalFormatting>
  <pageMargins left="0.25" right="0.25" top="0.75" bottom="0.75" header="0.3" footer="0.3"/>
  <pageSetup paperSize="8" scale="61" orientation="landscape" r:id="rId1"/>
  <headerFooter scaleWithDoc="0">
    <oddHeader>&amp;R&amp;"Univers,Fett"
&amp;G</oddHeader>
    <oddFooter xml:space="preserve">&amp;L&amp;8Verfasser: NN/NN
Datei:  &amp;F
Copyright by Brose. Alle Rechte vorbehalten&amp;C&amp;8Seite: &amp;P/&amp;N
&amp;R&amp;8Stand: 
Index: 100
</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40961" r:id="rId5" name="Drop Down 1">
              <controlPr defaultSize="0" print="0" autoLine="0" autoPict="0" macro="[0]!Dropdown2_BeiÄnderung">
                <anchor moveWithCells="1">
                  <from>
                    <xdr:col>1</xdr:col>
                    <xdr:colOff>66675</xdr:colOff>
                    <xdr:row>0</xdr:row>
                    <xdr:rowOff>114300</xdr:rowOff>
                  </from>
                  <to>
                    <xdr:col>6</xdr:col>
                    <xdr:colOff>200025</xdr:colOff>
                    <xdr:row>0</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10">
    <tabColor indexed="55"/>
    <outlinePr summaryBelow="0" summaryRight="0"/>
    <pageSetUpPr fitToPage="1"/>
  </sheetPr>
  <dimension ref="A1:HN295"/>
  <sheetViews>
    <sheetView showGridLines="0" topLeftCell="V1" zoomScaleNormal="100" workbookViewId="0">
      <selection activeCell="AB24" sqref="AB24"/>
    </sheetView>
  </sheetViews>
  <sheetFormatPr baseColWidth="10" defaultColWidth="10" defaultRowHeight="12.75" outlineLevelCol="2" x14ac:dyDescent="0.2"/>
  <cols>
    <col min="1" max="1" width="3.125" style="68" customWidth="1"/>
    <col min="2" max="2" width="28.625" style="68" customWidth="1" outlineLevel="1"/>
    <col min="3" max="3" width="3.125" style="68" customWidth="1"/>
    <col min="4" max="4" width="28.625" style="68" customWidth="1" outlineLevel="1"/>
    <col min="5" max="5" width="3.125" style="68" customWidth="1"/>
    <col min="6" max="6" width="37.875" style="68" customWidth="1" outlineLevel="1"/>
    <col min="7" max="7" width="3.125" style="68" customWidth="1"/>
    <col min="8" max="8" width="28.625" style="68" customWidth="1" outlineLevel="1"/>
    <col min="9" max="9" width="3.125" style="68" customWidth="1"/>
    <col min="10" max="10" width="28.625" style="68" customWidth="1" outlineLevel="1"/>
    <col min="11" max="11" width="3.125" style="68" customWidth="1"/>
    <col min="12" max="12" width="34.875" style="68" customWidth="1" outlineLevel="1"/>
    <col min="13" max="13" width="3.125" style="68" customWidth="1"/>
    <col min="14" max="14" width="27.25" style="68" customWidth="1" outlineLevel="1"/>
    <col min="15" max="15" width="3.125" style="68" customWidth="1"/>
    <col min="16" max="16" width="31.75" style="68" customWidth="1" outlineLevel="1"/>
    <col min="17" max="17" width="4" style="68" customWidth="1"/>
    <col min="18" max="18" width="27.25" style="68" customWidth="1" outlineLevel="1"/>
    <col min="19" max="19" width="3.125" style="68" customWidth="1"/>
    <col min="20" max="20" width="27.25" style="68" customWidth="1" outlineLevel="1"/>
    <col min="21" max="21" width="3.125" style="68" customWidth="1"/>
    <col min="22" max="22" width="29" style="68" customWidth="1" outlineLevel="2"/>
    <col min="23" max="23" width="10" style="68" customWidth="1" outlineLevel="1"/>
    <col min="24" max="24" width="10" style="143" customWidth="1" outlineLevel="1"/>
    <col min="25" max="25" width="3.125" style="68" customWidth="1"/>
    <col min="26" max="26" width="27.25" style="68" customWidth="1" outlineLevel="1"/>
    <col min="27" max="27" width="4.125" style="68" customWidth="1"/>
    <col min="28" max="28" width="30.75" style="68" customWidth="1" outlineLevel="1"/>
    <col min="29" max="29" width="3.25" style="143" customWidth="1"/>
    <col min="30" max="30" width="29.75" style="143" customWidth="1"/>
    <col min="31" max="31" width="3.25" style="143" customWidth="1"/>
    <col min="32" max="32" width="29.75" style="143" customWidth="1"/>
    <col min="33" max="33" width="3.25" style="143" customWidth="1"/>
    <col min="34" max="34" width="29.75" style="143" customWidth="1"/>
    <col min="35" max="36" width="10" style="65"/>
    <col min="37" max="16384" width="10" style="68"/>
  </cols>
  <sheetData>
    <row r="1" spans="1:36" s="65" customFormat="1" ht="18.75" customHeight="1" x14ac:dyDescent="0.2">
      <c r="A1" s="113" t="s">
        <v>108</v>
      </c>
      <c r="C1" s="675" t="s">
        <v>108</v>
      </c>
      <c r="E1" s="675" t="s">
        <v>108</v>
      </c>
      <c r="G1" s="675" t="s">
        <v>108</v>
      </c>
      <c r="I1" s="675" t="s">
        <v>108</v>
      </c>
      <c r="K1" s="675" t="s">
        <v>108</v>
      </c>
      <c r="M1" s="675" t="s">
        <v>108</v>
      </c>
      <c r="O1" s="114" t="s">
        <v>108</v>
      </c>
      <c r="Q1" s="114" t="s">
        <v>108</v>
      </c>
      <c r="S1" s="114" t="s">
        <v>108</v>
      </c>
      <c r="U1" s="114" t="s">
        <v>108</v>
      </c>
      <c r="Y1" s="675" t="s">
        <v>108</v>
      </c>
      <c r="AA1" s="675" t="s">
        <v>108</v>
      </c>
      <c r="AC1" s="675" t="s">
        <v>108</v>
      </c>
      <c r="AE1" s="675" t="s">
        <v>108</v>
      </c>
      <c r="AG1" s="675" t="s">
        <v>108</v>
      </c>
    </row>
    <row r="2" spans="1:36" s="65" customFormat="1" ht="18.75" customHeight="1" x14ac:dyDescent="0.2">
      <c r="A2" s="115">
        <f>'4 Language'!B2</f>
        <v>1</v>
      </c>
      <c r="B2" s="116" t="s">
        <v>481</v>
      </c>
      <c r="C2" s="676"/>
      <c r="E2" s="676"/>
      <c r="G2" s="676"/>
      <c r="I2" s="676"/>
      <c r="K2" s="676"/>
      <c r="M2" s="676"/>
      <c r="O2" s="676"/>
      <c r="Q2" s="676"/>
      <c r="S2" s="676"/>
      <c r="U2" s="676"/>
      <c r="Y2" s="674" t="str">
        <f>Z14</f>
        <v>Stahlauswahl</v>
      </c>
      <c r="Z2" s="71"/>
      <c r="AA2" s="676"/>
      <c r="AC2" s="676"/>
      <c r="AE2" s="676"/>
      <c r="AG2" s="674"/>
      <c r="AH2" s="679"/>
    </row>
    <row r="3" spans="1:36" s="65" customFormat="1" ht="18.75" customHeight="1" x14ac:dyDescent="0.2">
      <c r="A3" s="119"/>
      <c r="C3" s="676"/>
      <c r="E3" s="676"/>
      <c r="G3" s="676"/>
      <c r="I3" s="676"/>
      <c r="K3" s="676"/>
      <c r="M3" s="676"/>
      <c r="O3" s="676"/>
      <c r="Q3" s="676"/>
      <c r="S3" s="676"/>
      <c r="U3" s="674" t="str">
        <f>V14</f>
        <v>43.1 Materialauswahl</v>
      </c>
      <c r="V3" s="679"/>
      <c r="W3" s="679"/>
      <c r="X3" s="679"/>
      <c r="Y3" s="678"/>
      <c r="Z3" s="680"/>
      <c r="AA3" s="676"/>
      <c r="AC3" s="676"/>
      <c r="AE3" s="674"/>
      <c r="AF3" s="679"/>
      <c r="AG3" s="680"/>
      <c r="AH3" s="681"/>
    </row>
    <row r="4" spans="1:36" s="65" customFormat="1" ht="18.75" customHeight="1" x14ac:dyDescent="0.2">
      <c r="A4" s="117"/>
      <c r="C4" s="676"/>
      <c r="E4" s="676"/>
      <c r="G4" s="676"/>
      <c r="I4" s="676"/>
      <c r="K4" s="676"/>
      <c r="M4" s="676"/>
      <c r="O4" s="676"/>
      <c r="Q4" s="676"/>
      <c r="R4" s="121"/>
      <c r="S4" s="674" t="str">
        <f>T14</f>
        <v>95.1   Bauteilentnahme</v>
      </c>
      <c r="T4" s="679"/>
      <c r="Y4" s="676"/>
      <c r="AA4" s="676"/>
      <c r="AB4" s="121"/>
      <c r="AC4" s="674" t="str">
        <f>AD14</f>
        <v>109 110 111  Prozessüberwachung</v>
      </c>
      <c r="AD4" s="71"/>
      <c r="AE4" s="677"/>
      <c r="AF4" s="681"/>
      <c r="AG4" s="678"/>
      <c r="AH4" s="682"/>
      <c r="AI4" s="122"/>
    </row>
    <row r="5" spans="1:36" s="65" customFormat="1" ht="18.75" customHeight="1" x14ac:dyDescent="0.2">
      <c r="A5" s="117"/>
      <c r="C5" s="676"/>
      <c r="E5" s="676"/>
      <c r="G5" s="676"/>
      <c r="I5" s="676"/>
      <c r="K5" s="676"/>
      <c r="M5" s="676"/>
      <c r="O5" s="676"/>
      <c r="Q5" s="674">
        <f>R15</f>
        <v>0</v>
      </c>
      <c r="R5" s="679"/>
      <c r="T5" s="681"/>
      <c r="Y5" s="676"/>
      <c r="AA5" s="674" t="s">
        <v>2873</v>
      </c>
      <c r="AB5" s="71"/>
      <c r="AC5" s="677"/>
      <c r="AD5" s="681"/>
      <c r="AF5" s="682"/>
      <c r="AH5" s="682"/>
    </row>
    <row r="6" spans="1:36" s="65" customFormat="1" ht="18.75" customHeight="1" x14ac:dyDescent="0.2">
      <c r="A6" s="117"/>
      <c r="C6" s="676"/>
      <c r="E6" s="676"/>
      <c r="G6" s="676"/>
      <c r="I6" s="676"/>
      <c r="K6" s="676"/>
      <c r="M6" s="676"/>
      <c r="O6" s="674"/>
      <c r="P6" s="679"/>
      <c r="S6" s="676"/>
      <c r="T6" s="682"/>
      <c r="Y6" s="676"/>
      <c r="AA6" s="683"/>
      <c r="AB6" s="681"/>
      <c r="AD6" s="682"/>
      <c r="AF6" s="682"/>
      <c r="AH6" s="682"/>
    </row>
    <row r="7" spans="1:36" s="65" customFormat="1" ht="18.75" customHeight="1" x14ac:dyDescent="0.2">
      <c r="A7" s="117"/>
      <c r="C7" s="676"/>
      <c r="E7" s="676"/>
      <c r="F7" s="124">
        <f>'1 Injection molding 2K . 3K'!AI126</f>
        <v>1</v>
      </c>
      <c r="G7" s="676"/>
      <c r="I7" s="676"/>
      <c r="K7" s="676"/>
      <c r="M7" s="674"/>
      <c r="N7" s="679"/>
      <c r="Q7" s="676"/>
      <c r="S7" s="676"/>
      <c r="T7" s="682"/>
      <c r="Y7" s="676"/>
      <c r="AA7" s="676"/>
      <c r="AB7" s="682"/>
      <c r="AE7" s="676"/>
      <c r="AF7" s="682"/>
      <c r="AH7" s="682"/>
    </row>
    <row r="8" spans="1:36" s="65" customFormat="1" ht="18.75" customHeight="1" x14ac:dyDescent="0.2">
      <c r="A8" s="117"/>
      <c r="C8" s="676"/>
      <c r="E8" s="676"/>
      <c r="F8" s="127">
        <f>'1 Injection molding 2K . 3K'!AI127</f>
        <v>1</v>
      </c>
      <c r="G8" s="676"/>
      <c r="I8" s="676"/>
      <c r="K8" s="674" t="str">
        <f>L14</f>
        <v>136   Angaben zum Kaltkanal</v>
      </c>
      <c r="L8" s="679"/>
      <c r="O8" s="676"/>
      <c r="Q8" s="676"/>
      <c r="S8" s="676"/>
      <c r="T8" s="682"/>
      <c r="Y8" s="676"/>
      <c r="AA8" s="676"/>
      <c r="AC8" s="676"/>
      <c r="AE8" s="676"/>
      <c r="AF8" s="682"/>
      <c r="AH8" s="682"/>
    </row>
    <row r="9" spans="1:36" s="65" customFormat="1" ht="18.75" customHeight="1" x14ac:dyDescent="0.2">
      <c r="A9" s="117"/>
      <c r="C9" s="676"/>
      <c r="E9" s="676"/>
      <c r="F9" s="129">
        <f>'1 Injection molding 2K . 3K'!AI128</f>
        <v>1</v>
      </c>
      <c r="G9" s="676"/>
      <c r="I9" s="674" t="str">
        <f>J14</f>
        <v>129   Düsenart</v>
      </c>
      <c r="J9" s="679"/>
      <c r="M9" s="676"/>
      <c r="O9" s="676"/>
      <c r="Q9" s="676"/>
      <c r="S9" s="676"/>
      <c r="T9" s="682"/>
      <c r="Y9" s="676"/>
      <c r="Z9" s="124">
        <f>'1 Injection molding 2K . 3K'!AI26</f>
        <v>1</v>
      </c>
      <c r="AC9" s="676"/>
      <c r="AE9" s="676"/>
      <c r="AF9" s="682"/>
      <c r="AH9" s="682"/>
    </row>
    <row r="10" spans="1:36" s="65" customFormat="1" ht="18.75" customHeight="1" x14ac:dyDescent="0.2">
      <c r="A10" s="117"/>
      <c r="C10" s="676"/>
      <c r="E10" s="676"/>
      <c r="G10" s="674" t="str">
        <f>H14</f>
        <v>13   WZ-Auslegung</v>
      </c>
      <c r="H10" s="684"/>
      <c r="K10" s="676"/>
      <c r="M10" s="676"/>
      <c r="O10" s="676"/>
      <c r="Q10" s="676"/>
      <c r="S10" s="676"/>
      <c r="T10" s="682"/>
      <c r="Y10" s="676"/>
      <c r="Z10" s="127">
        <f>'1 Injection molding 2K . 3K'!AI27</f>
        <v>1</v>
      </c>
      <c r="AC10" s="676"/>
      <c r="AE10" s="676"/>
      <c r="AF10" s="682"/>
      <c r="AH10" s="682"/>
    </row>
    <row r="11" spans="1:36" s="65" customFormat="1" ht="18.75" customHeight="1" x14ac:dyDescent="0.2">
      <c r="A11" s="117"/>
      <c r="C11" s="676"/>
      <c r="E11" s="674" t="str">
        <f>F14</f>
        <v>126   Abindung</v>
      </c>
      <c r="F11" s="679"/>
      <c r="I11" s="676"/>
      <c r="J11" s="124">
        <f>'1 Injection molding 2K . 3K'!AI129</f>
        <v>1</v>
      </c>
      <c r="L11" s="124">
        <f>'1 Injection molding 2K . 3K'!AI132</f>
        <v>1</v>
      </c>
      <c r="N11" s="123"/>
      <c r="P11" s="124">
        <f>'1 Injection molding 2K . 3K'!AI135</f>
        <v>1</v>
      </c>
      <c r="R11" s="124">
        <f>'1 Injection molding 2K . 3K'!AI35</f>
        <v>1</v>
      </c>
      <c r="T11" s="682"/>
      <c r="V11" s="124">
        <f>'1 Injection molding 2K . 3K'!AI18</f>
        <v>1</v>
      </c>
      <c r="W11" s="125" t="s">
        <v>1466</v>
      </c>
      <c r="Y11" s="676"/>
      <c r="Z11" s="129">
        <f>'1 Injection molding 2K . 3K'!AI28</f>
        <v>1</v>
      </c>
      <c r="AB11" s="124">
        <f>'1 Injection molding 2K . 3K'!AS23</f>
        <v>0</v>
      </c>
      <c r="AD11" s="124">
        <f>'1 Injection molding 2K . 3K'!AI109</f>
        <v>1</v>
      </c>
      <c r="AF11" s="123"/>
      <c r="AH11" s="124"/>
      <c r="AI11" s="126"/>
    </row>
    <row r="12" spans="1:36" s="65" customFormat="1" ht="18.75" customHeight="1" x14ac:dyDescent="0.2">
      <c r="A12" s="117"/>
      <c r="C12" s="674" t="str">
        <f>D14</f>
        <v>12   Technik</v>
      </c>
      <c r="D12" s="679"/>
      <c r="G12" s="676"/>
      <c r="I12" s="676"/>
      <c r="J12" s="127">
        <f>'1 Injection molding 2K . 3K'!AI130</f>
        <v>1</v>
      </c>
      <c r="L12" s="127">
        <f>'1 Injection molding 2K . 3K'!AI133</f>
        <v>1</v>
      </c>
      <c r="N12" s="123"/>
      <c r="P12" s="127">
        <f>'1 Injection molding 2K . 3K'!AI136</f>
        <v>1</v>
      </c>
      <c r="R12" s="127">
        <f>'1 Injection molding 2K . 3K'!AI36</f>
        <v>1</v>
      </c>
      <c r="T12" s="682"/>
      <c r="V12" s="127">
        <f>'1 Injection molding 2K . 3K'!AI19</f>
        <v>1</v>
      </c>
      <c r="W12" s="128" t="s">
        <v>1467</v>
      </c>
      <c r="Y12" s="676"/>
      <c r="Z12" s="124">
        <f>'1 Injection molding 2K . 3K'!AI29</f>
        <v>1</v>
      </c>
      <c r="AB12" s="127">
        <f>'1 Injection molding 2K . 3K'!AS24</f>
        <v>0</v>
      </c>
      <c r="AD12" s="127">
        <f>'1 Injection molding 2K . 3K'!AI110</f>
        <v>1</v>
      </c>
      <c r="AF12" s="123"/>
      <c r="AH12" s="127">
        <f>'1 Injection molding 2K . 3K'!AI32</f>
        <v>1</v>
      </c>
    </row>
    <row r="13" spans="1:36" s="65" customFormat="1" ht="18.75" customHeight="1" x14ac:dyDescent="0.2">
      <c r="A13" s="118" t="str">
        <f>B14</f>
        <v>39 1.2.3   Regelung nach</v>
      </c>
      <c r="E13" s="676"/>
      <c r="G13" s="676"/>
      <c r="I13" s="676"/>
      <c r="J13" s="129">
        <f>'1 Injection molding 2K . 3K'!AI131</f>
        <v>1</v>
      </c>
      <c r="L13" s="129">
        <f>'1 Injection molding 2K . 3K'!AI134</f>
        <v>1</v>
      </c>
      <c r="N13" s="123"/>
      <c r="P13" s="129">
        <f>'1 Injection molding 2K . 3K'!AI137</f>
        <v>1</v>
      </c>
      <c r="R13" s="129">
        <f>'1 Injection molding 2K . 3K'!AI24</f>
        <v>1</v>
      </c>
      <c r="T13" s="682"/>
      <c r="V13" s="129">
        <f>'1 Injection molding 2K . 3K'!AI20</f>
        <v>1</v>
      </c>
      <c r="W13" s="130" t="s">
        <v>1468</v>
      </c>
      <c r="Y13" s="676"/>
      <c r="Z13" s="120"/>
      <c r="AB13" s="129">
        <f>'1 Injection molding 2K . 3K'!AS25</f>
        <v>0</v>
      </c>
      <c r="AD13" s="129">
        <f>'1 Injection molding 2K . 3K'!AI111</f>
        <v>1</v>
      </c>
      <c r="AF13" s="123"/>
      <c r="AH13" s="129">
        <f>'1 Injection molding 2K . 3K'!AI33</f>
        <v>1</v>
      </c>
    </row>
    <row r="14" spans="1:36" s="69" customFormat="1" ht="25.5" customHeight="1" x14ac:dyDescent="0.2">
      <c r="B14" s="131" t="s">
        <v>1837</v>
      </c>
      <c r="D14" s="131" t="s">
        <v>1847</v>
      </c>
      <c r="F14" s="131" t="s">
        <v>1849</v>
      </c>
      <c r="H14" s="131" t="s">
        <v>1848</v>
      </c>
      <c r="J14" s="131" t="s">
        <v>1850</v>
      </c>
      <c r="L14" s="131" t="s">
        <v>1851</v>
      </c>
      <c r="N14" s="131" t="s">
        <v>489</v>
      </c>
      <c r="P14" s="131" t="s">
        <v>490</v>
      </c>
      <c r="R14" s="131" t="s">
        <v>1517</v>
      </c>
      <c r="T14" s="131" t="s">
        <v>491</v>
      </c>
      <c r="U14" s="132" t="s">
        <v>679</v>
      </c>
      <c r="V14" s="133" t="s">
        <v>616</v>
      </c>
      <c r="W14" s="687" t="s">
        <v>661</v>
      </c>
      <c r="X14" s="685" t="s">
        <v>662</v>
      </c>
      <c r="Z14" s="131" t="s">
        <v>617</v>
      </c>
      <c r="AB14" s="131" t="s">
        <v>1517</v>
      </c>
      <c r="AD14" s="131" t="s">
        <v>2786</v>
      </c>
      <c r="AF14" s="131" t="s">
        <v>2787</v>
      </c>
      <c r="AH14" s="131" t="s">
        <v>2788</v>
      </c>
      <c r="AI14" s="126"/>
      <c r="AJ14" s="65"/>
    </row>
    <row r="15" spans="1:36" s="122" customFormat="1" ht="20.25" customHeight="1" x14ac:dyDescent="0.2">
      <c r="B15" s="123">
        <f>'1 Injection molding 2K . 3K'!AI21</f>
        <v>5</v>
      </c>
      <c r="D15" s="123">
        <f>'1 Injection molding 2K . 3K'!AI16</f>
        <v>1</v>
      </c>
      <c r="E15" s="65"/>
      <c r="F15" s="123" t="s">
        <v>1846</v>
      </c>
      <c r="G15" s="134"/>
      <c r="H15" s="123">
        <f>'1 Injection molding 2K . 3K'!AI17</f>
        <v>1</v>
      </c>
      <c r="I15" s="135"/>
      <c r="J15" s="123" t="s">
        <v>1846</v>
      </c>
      <c r="L15" s="123" t="s">
        <v>1846</v>
      </c>
      <c r="N15" s="123" t="s">
        <v>1846</v>
      </c>
      <c r="P15" s="123" t="s">
        <v>1846</v>
      </c>
      <c r="T15" s="123">
        <f>'1 Injection molding 2K . 3K'!AI30</f>
        <v>1</v>
      </c>
      <c r="U15" s="136"/>
      <c r="V15" s="123">
        <v>3</v>
      </c>
      <c r="W15" s="137"/>
      <c r="X15" s="686"/>
      <c r="Z15" s="123" t="s">
        <v>1846</v>
      </c>
      <c r="AB15" s="123" t="s">
        <v>1846</v>
      </c>
      <c r="AD15" s="123" t="s">
        <v>1846</v>
      </c>
      <c r="AF15" s="123">
        <f>'1 Injection molding 2K . 3K'!AI31</f>
        <v>1</v>
      </c>
      <c r="AH15" s="123" t="s">
        <v>1846</v>
      </c>
      <c r="AI15" s="65"/>
    </row>
    <row r="16" spans="1:36" s="6" customFormat="1" ht="20.25" customHeight="1" x14ac:dyDescent="0.2">
      <c r="B16" s="153" t="str">
        <f>HLOOKUP('4 Language'!$B$2,'4 Language'!$C$400:$H$500,8)</f>
        <v>Auswahl</v>
      </c>
      <c r="D16" s="153" t="str">
        <f>HLOOKUP('4 Language'!$B$2,'4 Language'!$C$400:$H$500,8)</f>
        <v>Auswahl</v>
      </c>
      <c r="F16" s="153" t="str">
        <f>HLOOKUP('4 Language'!$B$2,'4 Language'!$C$400:$H$500,8)</f>
        <v>Auswahl</v>
      </c>
      <c r="G16" s="154">
        <v>1</v>
      </c>
      <c r="H16" s="153" t="str">
        <f>HLOOKUP('4 Language'!$B$2,'4 Language'!$C$400:$H$500,8)</f>
        <v>Auswahl</v>
      </c>
      <c r="I16" s="155">
        <v>0</v>
      </c>
      <c r="J16" s="153" t="str">
        <f>HLOOKUP('4 Language'!$B$2,'4 Language'!$C$400:$H$500,8)</f>
        <v>Auswahl</v>
      </c>
      <c r="L16" s="153" t="str">
        <f>HLOOKUP('4 Language'!$B$2,'4 Language'!$C$400:$H$500,8)</f>
        <v>Auswahl</v>
      </c>
      <c r="N16" s="153" t="str">
        <f>HLOOKUP('4 Language'!$B$2,'4 Language'!$C$400:$H$500,8)</f>
        <v>Auswahl</v>
      </c>
      <c r="P16" s="153" t="str">
        <f>HLOOKUP('4 Language'!$B$2,'4 Language'!$C$400:$H$500,8)</f>
        <v>Auswahl</v>
      </c>
      <c r="R16" s="153" t="str">
        <f>HLOOKUP('4 Language'!$B$2,'4 Language'!$C$400:$H$500,8)</f>
        <v>Auswahl</v>
      </c>
      <c r="T16" s="153" t="str">
        <f>HLOOKUP('4 Language'!$B$2,'4 Language'!$C$400:$H$500,8)</f>
        <v>Auswahl</v>
      </c>
      <c r="U16" s="156">
        <v>1</v>
      </c>
      <c r="V16" s="153" t="str">
        <f>HLOOKUP('4 Language'!$B$2,'4 Language'!$C$400:$H$500,8)</f>
        <v>Auswahl</v>
      </c>
      <c r="W16" s="157" t="s">
        <v>677</v>
      </c>
      <c r="X16" s="158" t="s">
        <v>677</v>
      </c>
      <c r="Z16" s="153" t="str">
        <f>HLOOKUP('4 Language'!$B$2,'4 Language'!$C$400:$H$500,8)</f>
        <v>Auswahl</v>
      </c>
      <c r="AB16" s="153" t="str">
        <f>HLOOKUP('4 Language'!$B$2,'4 Language'!$C$400:$H$500,8)</f>
        <v>Auswahl</v>
      </c>
      <c r="AD16" s="153" t="str">
        <f>HLOOKUP('4 Language'!$B$2,'4 Language'!$C$400:$H$500,8)</f>
        <v>Auswahl</v>
      </c>
      <c r="AF16" s="153" t="str">
        <f>HLOOKUP('4 Language'!$B$2,'4 Language'!$C$400:$H$500,8)</f>
        <v>Auswahl</v>
      </c>
      <c r="AH16" s="153" t="str">
        <f>HLOOKUP('4 Language'!$B$2,'4 Language'!$C$400:$H$500,8)</f>
        <v>Auswahl</v>
      </c>
    </row>
    <row r="17" spans="2:36" s="6" customFormat="1" ht="20.25" customHeight="1" x14ac:dyDescent="0.2">
      <c r="B17" s="142"/>
      <c r="D17" s="159"/>
      <c r="F17" s="159"/>
      <c r="G17" s="154">
        <v>2</v>
      </c>
      <c r="H17" s="153"/>
      <c r="I17" s="155">
        <v>0</v>
      </c>
      <c r="J17" s="160"/>
      <c r="L17" s="159"/>
      <c r="N17" s="160"/>
      <c r="P17" s="160"/>
      <c r="R17" s="160"/>
      <c r="T17" s="160"/>
      <c r="U17" s="156">
        <v>2</v>
      </c>
      <c r="V17" s="153" t="str">
        <f>HLOOKUP('4 Language'!$B$2,'4 Language'!$C$12:$H$307,157)</f>
        <v>Sondermaterial / Eingabe Dichte</v>
      </c>
      <c r="W17" s="157" t="s">
        <v>1463</v>
      </c>
      <c r="X17" s="158" t="s">
        <v>1463</v>
      </c>
      <c r="Z17" s="160"/>
      <c r="AB17" s="160"/>
      <c r="AD17" s="160"/>
      <c r="AF17" s="153"/>
      <c r="AH17" s="160"/>
      <c r="AI17" s="14"/>
    </row>
    <row r="18" spans="2:36" s="6" customFormat="1" ht="20.25" customHeight="1" x14ac:dyDescent="0.2">
      <c r="B18" s="153" t="s">
        <v>113</v>
      </c>
      <c r="D18" s="153" t="str">
        <f>HLOOKUP('4 Language'!$B$2,'4 Language'!$C$12:$H$500,256)</f>
        <v>Transfer</v>
      </c>
      <c r="F18" s="153" t="str">
        <f>HLOOKUP('4 Language'!$B$2,'4 Language'!$C$400:$H$500,31)</f>
        <v>direkt über kalte Stange</v>
      </c>
      <c r="G18" s="154">
        <v>3</v>
      </c>
      <c r="H18" s="153" t="s">
        <v>74</v>
      </c>
      <c r="I18" s="155">
        <v>1</v>
      </c>
      <c r="J18" s="153" t="str">
        <f>HLOOKUP('4 Language'!$B$2,'4 Language'!$C$400:$H$500,43)</f>
        <v>offene Düse</v>
      </c>
      <c r="L18" s="153" t="str">
        <f>HLOOKUP('4 Language'!$B$2,'4 Language'!$C$400:$H$500,51)</f>
        <v>ohne Kaltkanal</v>
      </c>
      <c r="N18" s="153" t="str">
        <f>HLOOKUP('4 Language'!$B$2,'4 Language'!$C$400:$H$500,59)</f>
        <v>Moldflow AMSI</v>
      </c>
      <c r="P18" s="153" t="str">
        <f>HLOOKUP('4 Language'!$B$2,'4 Language'!$C$400:$H$500,67)</f>
        <v>Heißkanal Direktanbindung</v>
      </c>
      <c r="R18" s="153" t="str">
        <f>HLOOKUP('4 Language'!$B$2,'4 Language'!$C$400:$H$500,11)</f>
        <v>Dosiergerät</v>
      </c>
      <c r="T18" s="153" t="str">
        <f>HLOOKUP('4 Language'!$B$2,'4 Language'!$C$400:$H$500,89)</f>
        <v>automatisiert [per Roboter / Greifer]</v>
      </c>
      <c r="U18" s="156">
        <v>3</v>
      </c>
      <c r="V18" s="153" t="s">
        <v>643</v>
      </c>
      <c r="W18" s="157">
        <v>1.02</v>
      </c>
      <c r="X18" s="158">
        <v>1.22</v>
      </c>
      <c r="Z18" s="161" t="s">
        <v>804</v>
      </c>
      <c r="AB18" s="153" t="str">
        <f>HLOOKUP('4 Language'!$B$2,'4 Language'!$C$12:$H$500,291)</f>
        <v>Einfärbung mittels Masterbatch</v>
      </c>
      <c r="AD18" s="153" t="str">
        <f>HLOOKUP('4 Language'!$B$2,'4 Language'!$C$12:$H$500,298)</f>
        <v>Dosierzeit (Ist-Wert)</v>
      </c>
      <c r="AF18" s="153" t="s">
        <v>2726</v>
      </c>
      <c r="AH18" s="153" t="str">
        <f>HLOOKUP('4 Language'!$B$2,'4 Language'!$C$400:$H$600,193)</f>
        <v>Wasser</v>
      </c>
    </row>
    <row r="19" spans="2:36" s="6" customFormat="1" ht="20.25" customHeight="1" x14ac:dyDescent="0.2">
      <c r="B19" s="153" t="s">
        <v>364</v>
      </c>
      <c r="D19" s="153" t="str">
        <f>HLOOKUP('4 Language'!$B$2,'4 Language'!$C$12:$H$500,257)</f>
        <v>Kernrückzugsverfahren</v>
      </c>
      <c r="F19" s="153" t="str">
        <f>HLOOKUP('4 Language'!$B$2,'4 Language'!$C$400:$H$500,32)</f>
        <v>direkt über beheizte Düse</v>
      </c>
      <c r="G19" s="154">
        <v>4</v>
      </c>
      <c r="H19" s="153" t="s">
        <v>1488</v>
      </c>
      <c r="I19" s="155">
        <v>1</v>
      </c>
      <c r="J19" s="153" t="str">
        <f>HLOOKUP('4 Language'!$B$2,'4 Language'!$C$400:$H$500,44)</f>
        <v>offene Düse mit Torpedo</v>
      </c>
      <c r="L19" s="153" t="str">
        <f>HLOOKUP('4 Language'!$B$2,'4 Language'!$C$400:$H$500,52)</f>
        <v>Reihenverteilung, 1 Ebene</v>
      </c>
      <c r="N19" s="153" t="str">
        <f>HLOOKUP('4 Language'!$B$2,'4 Language'!$C$400:$H$500,60)</f>
        <v>Moldflow AMSA</v>
      </c>
      <c r="P19" s="153" t="str">
        <f>HLOOKUP('4 Language'!$B$2,'4 Language'!$C$400:$H$500,68)</f>
        <v>Tunnelanguss</v>
      </c>
      <c r="R19" s="153" t="str">
        <f>HLOOKUP('4 Language'!$B$2,'4 Language'!$C$400:$H$500,12)</f>
        <v>Hand</v>
      </c>
      <c r="T19" s="153" t="str">
        <f>HLOOKUP('4 Language'!$B$2,'4 Language'!$C$400:$H$500,90)</f>
        <v>per Hand</v>
      </c>
      <c r="U19" s="156">
        <v>4</v>
      </c>
      <c r="V19" s="153" t="s">
        <v>644</v>
      </c>
      <c r="W19" s="157">
        <v>0.86</v>
      </c>
      <c r="X19" s="158">
        <v>1.01</v>
      </c>
      <c r="Z19" s="153" t="s">
        <v>788</v>
      </c>
      <c r="AB19" s="153" t="str">
        <f>HLOOKUP('4 Language'!$B$2,'4 Language'!$C$12:$H$500,292)</f>
        <v>Chemisches Treibmittel</v>
      </c>
      <c r="AD19" s="153" t="str">
        <f>HLOOKUP('4 Language'!$B$2,'4 Language'!$C$12:$H$500,299)</f>
        <v>Einspritzzeit</v>
      </c>
      <c r="AF19" s="153" t="s">
        <v>2727</v>
      </c>
      <c r="AH19" s="153" t="str">
        <f>HLOOKUP('4 Language'!$B$2,'4 Language'!$C$400:$H$600,194)</f>
        <v>Öl</v>
      </c>
    </row>
    <row r="20" spans="2:36" s="6" customFormat="1" ht="20.25" customHeight="1" x14ac:dyDescent="0.2">
      <c r="B20" s="153" t="s">
        <v>109</v>
      </c>
      <c r="D20" s="153" t="str">
        <f>HLOOKUP('4 Language'!$B$2,'4 Language'!$C$12:$H$500,258)</f>
        <v>Rotierende Indexplatte</v>
      </c>
      <c r="F20" s="153" t="str">
        <f>HLOOKUP('4 Language'!$B$2,'4 Language'!$C$400:$H$500,33)</f>
        <v>Stange auf Kaltkanal</v>
      </c>
      <c r="G20" s="154">
        <v>5</v>
      </c>
      <c r="H20" s="153" t="s">
        <v>75</v>
      </c>
      <c r="I20" s="155">
        <v>2</v>
      </c>
      <c r="J20" s="153" t="str">
        <f>HLOOKUP('4 Language'!$B$2,'4 Language'!$C$400:$H$500,45)</f>
        <v>Nadelverschluss hydraulisch</v>
      </c>
      <c r="L20" s="153" t="str">
        <f>HLOOKUP('4 Language'!$B$2,'4 Language'!$C$400:$H$500,53)</f>
        <v>Reihenverteilung, 2 Ebenen</v>
      </c>
      <c r="N20" s="153" t="str">
        <f>HLOOKUP('4 Language'!$B$2,'4 Language'!$C$400:$H$500,61)</f>
        <v>Moldex 3D</v>
      </c>
      <c r="P20" s="153" t="str">
        <f>HLOOKUP('4 Language'!$B$2,'4 Language'!$C$400:$H$500,69)</f>
        <v>Tunnelanguss mit Stauboden</v>
      </c>
      <c r="R20" s="153"/>
      <c r="T20" s="153" t="str">
        <f>HLOOKUP('4 Language'!$B$2,'4 Language'!$C$400:$H$500,91)</f>
        <v>frei fallend</v>
      </c>
      <c r="U20" s="156">
        <v>5</v>
      </c>
      <c r="V20" s="153" t="s">
        <v>632</v>
      </c>
      <c r="W20" s="157">
        <v>0.97</v>
      </c>
      <c r="X20" s="158">
        <v>1.1299999999999999</v>
      </c>
      <c r="Z20" s="153" t="s">
        <v>789</v>
      </c>
      <c r="AB20" s="153" t="str">
        <f>HLOOKUP('4 Language'!$B$2,'4 Language'!$C$340:$H$380,2)</f>
        <v>Entformungsmittel</v>
      </c>
      <c r="AD20" s="153" t="str">
        <f>HLOOKUP('4 Language'!$B$2,'4 Language'!$C$12:$H$500,300)</f>
        <v>Einspritzdruck (Ist-Wert)</v>
      </c>
      <c r="AF20" s="153" t="s">
        <v>2728</v>
      </c>
      <c r="AH20" s="153" t="str">
        <f>HLOOKUP('4 Language'!$B$2,'4 Language'!$C$400:$H$600,195)</f>
        <v>Luft</v>
      </c>
    </row>
    <row r="21" spans="2:36" s="6" customFormat="1" ht="20.25" customHeight="1" x14ac:dyDescent="0.2">
      <c r="D21" s="153" t="str">
        <f>HLOOKUP('4 Language'!$B$2,'4 Language'!$C$12:$H$500,259)</f>
        <v>Drehteller</v>
      </c>
      <c r="F21" s="153" t="str">
        <f>HLOOKUP('4 Language'!$B$2,'4 Language'!$C$400:$H$500,34)</f>
        <v>beheizte Düse auf Kaltkanal</v>
      </c>
      <c r="G21" s="154">
        <v>6</v>
      </c>
      <c r="H21" s="153" t="s">
        <v>1489</v>
      </c>
      <c r="I21" s="155">
        <v>2</v>
      </c>
      <c r="J21" s="153" t="str">
        <f>HLOOKUP('4 Language'!$B$2,'4 Language'!$C$400:$H$500,46)</f>
        <v>Nadelverschluss pneumatisch</v>
      </c>
      <c r="L21" s="153" t="str">
        <f>HLOOKUP('4 Language'!$B$2,'4 Language'!$C$400:$H$500,54)</f>
        <v>Reihenverteilung, 3 Ebenen</v>
      </c>
      <c r="N21" s="153" t="str">
        <f>HLOOKUP('4 Language'!$B$2,'4 Language'!$C$400:$H$500,62)</f>
        <v>Sigmasoft</v>
      </c>
      <c r="P21" s="153" t="str">
        <f>HLOOKUP('4 Language'!$B$2,'4 Language'!$C$400:$H$500,70)</f>
        <v>Gebogener Tunnelanguss</v>
      </c>
      <c r="T21" s="160"/>
      <c r="U21" s="156">
        <v>6</v>
      </c>
      <c r="V21" s="153" t="s">
        <v>631</v>
      </c>
      <c r="W21" s="157">
        <v>1.05</v>
      </c>
      <c r="X21" s="158">
        <v>1.25</v>
      </c>
      <c r="Z21" s="153" t="s">
        <v>790</v>
      </c>
      <c r="AB21" s="153" t="str">
        <f>HLOOKUP('4 Language'!$B$2,'4 Language'!$C$340:$H$380,3)</f>
        <v xml:space="preserve">Gleitmittel </v>
      </c>
      <c r="AD21" s="153" t="str">
        <f>HLOOKUP('4 Language'!$B$2,'4 Language'!$C$12:$H$500,301)</f>
        <v>Umschaltdruck</v>
      </c>
      <c r="AF21" s="153" t="s">
        <v>2729</v>
      </c>
      <c r="AH21" s="153" t="str">
        <f>HLOOKUP('4 Language'!$B$2,'4 Language'!$C$400:$H$600,196)</f>
        <v>CO2</v>
      </c>
    </row>
    <row r="22" spans="2:36" s="6" customFormat="1" ht="20.25" customHeight="1" x14ac:dyDescent="0.2">
      <c r="F22" s="153" t="str">
        <f>HLOOKUP('4 Language'!$B$2,'4 Language'!$C$400:$H$500,35)</f>
        <v>Heißkanal natürlich balanciert</v>
      </c>
      <c r="G22" s="154">
        <v>7</v>
      </c>
      <c r="H22" s="153" t="s">
        <v>76</v>
      </c>
      <c r="I22" s="155">
        <v>4</v>
      </c>
      <c r="J22" s="153" t="str">
        <f>HLOOKUP('4 Language'!$B$2,'4 Language'!$C$400:$H$500,47)</f>
        <v>Nadelverschluss elektrisch</v>
      </c>
      <c r="L22" s="153" t="str">
        <f>HLOOKUP('4 Language'!$B$2,'4 Language'!$C$400:$H$500,55)</f>
        <v>Sternverteiler</v>
      </c>
      <c r="N22" s="153" t="str">
        <f>HLOOKUP('4 Language'!$B$2,'4 Language'!$C$400:$H$500,63)</f>
        <v>andere</v>
      </c>
      <c r="P22" s="153" t="str">
        <f>HLOOKUP('4 Language'!$B$2,'4 Language'!$C$400:$H$500,71)</f>
        <v>Stangenanguss</v>
      </c>
      <c r="T22" s="160"/>
      <c r="U22" s="156">
        <v>7</v>
      </c>
      <c r="V22" s="153" t="s">
        <v>1088</v>
      </c>
      <c r="W22" s="157">
        <v>1.1459999999999999</v>
      </c>
      <c r="X22" s="158">
        <v>1.28</v>
      </c>
      <c r="Z22" s="153" t="s">
        <v>787</v>
      </c>
      <c r="AB22" s="153" t="str">
        <f>HLOOKUP('4 Language'!$B$2,'4 Language'!$C$340:$H$380,4)</f>
        <v>Kombi-Masterbatch</v>
      </c>
      <c r="AD22" s="153" t="str">
        <f>HLOOKUP('4 Language'!$B$2,'4 Language'!$C$12:$H$500,302)</f>
        <v>Umschaltpunkt</v>
      </c>
      <c r="AF22" s="153" t="s">
        <v>2730</v>
      </c>
      <c r="AH22" s="153" t="str">
        <f>HLOOKUP('4 Language'!$B$2,'4 Language'!$C$400:$H$600,197)</f>
        <v>Variothermes System</v>
      </c>
    </row>
    <row r="23" spans="2:36" s="6" customFormat="1" ht="20.25" customHeight="1" x14ac:dyDescent="0.2">
      <c r="F23" s="153" t="str">
        <f>HLOOKUP('4 Language'!$B$2,'4 Language'!$C$400:$H$500,36)</f>
        <v>Heißkanal technisch balanciert (Durchmesser)</v>
      </c>
      <c r="G23" s="154">
        <v>8</v>
      </c>
      <c r="H23" s="153" t="s">
        <v>1490</v>
      </c>
      <c r="I23" s="155">
        <v>4</v>
      </c>
      <c r="J23" s="153" t="str">
        <f>HLOOKUP('4 Language'!$B$2,'4 Language'!$C$400:$H$500,48)</f>
        <v>Nadelverschluss mechanisch</v>
      </c>
      <c r="L23" s="153" t="str">
        <f>HLOOKUP('4 Language'!$B$2,'4 Language'!$C$400:$H$500,56)</f>
        <v>Reihen- / Stern-Kombination</v>
      </c>
      <c r="N23" s="153" t="str">
        <f>HLOOKUP('4 Language'!$B$2,'4 Language'!$C$400:$H$500,64)</f>
        <v>bei Brose durchgeführt</v>
      </c>
      <c r="P23" s="153" t="str">
        <f>HLOOKUP('4 Language'!$B$2,'4 Language'!$C$400:$H$500,72)</f>
        <v>Band- oder Filmanguss</v>
      </c>
      <c r="U23" s="156">
        <v>8</v>
      </c>
      <c r="V23" s="153" t="s">
        <v>630</v>
      </c>
      <c r="W23" s="157">
        <v>1.2</v>
      </c>
      <c r="X23" s="158">
        <v>1.38</v>
      </c>
      <c r="Z23" s="153" t="s">
        <v>791</v>
      </c>
      <c r="AB23" s="153"/>
      <c r="AD23" s="153" t="str">
        <f>HLOOKUP('4 Language'!$B$2,'4 Language'!$C$12:$H$500,303)</f>
        <v>Massepolster</v>
      </c>
      <c r="AF23" s="153" t="s">
        <v>2731</v>
      </c>
      <c r="AH23" s="153" t="str">
        <f>HLOOKUP('4 Language'!$B$2,'4 Language'!$C$400:$H$600,198)</f>
        <v>Heizelemente</v>
      </c>
    </row>
    <row r="24" spans="2:36" s="13" customFormat="1" ht="20.25" customHeight="1" x14ac:dyDescent="0.2">
      <c r="B24" s="6"/>
      <c r="D24" s="6"/>
      <c r="F24" s="153" t="str">
        <f>HLOOKUP('4 Language'!$B$2,'4 Language'!$C$400:$H$500,37)</f>
        <v>Heißkanal / Kaltkanalkombination</v>
      </c>
      <c r="G24" s="154">
        <v>9</v>
      </c>
      <c r="H24" s="153" t="s">
        <v>82</v>
      </c>
      <c r="I24" s="155">
        <v>8</v>
      </c>
      <c r="J24" s="153" t="str">
        <f>HLOOKUP('4 Language'!$B$2,'4 Language'!$C$400:$H$500,49)</f>
        <v>Mehrfachdüse</v>
      </c>
      <c r="L24" s="159"/>
      <c r="N24" s="160"/>
      <c r="P24" s="153" t="str">
        <f>HLOOKUP('4 Language'!$B$2,'4 Language'!$C$400:$H$500,73)</f>
        <v>Direktanbindung - Dreiplatten-WZ</v>
      </c>
      <c r="R24" s="6"/>
      <c r="T24" s="6"/>
      <c r="U24" s="156">
        <v>9</v>
      </c>
      <c r="V24" s="153" t="s">
        <v>1087</v>
      </c>
      <c r="W24" s="157">
        <v>1.29</v>
      </c>
      <c r="X24" s="158">
        <v>1.41</v>
      </c>
      <c r="Z24" s="153" t="s">
        <v>792</v>
      </c>
      <c r="AB24" s="6"/>
      <c r="AC24" s="162"/>
      <c r="AD24" s="153" t="str">
        <f>HLOOKUP('4 Language'!$B$2,'4 Language'!$C$12:$H$500,304)</f>
        <v>Zykluszeit</v>
      </c>
      <c r="AE24" s="162"/>
      <c r="AF24" s="153" t="s">
        <v>2732</v>
      </c>
      <c r="AG24" s="162"/>
      <c r="AH24" s="153"/>
      <c r="AI24" s="6"/>
      <c r="AJ24" s="6"/>
    </row>
    <row r="25" spans="2:36" s="14" customFormat="1" ht="20.25" customHeight="1" x14ac:dyDescent="0.2">
      <c r="B25" s="6"/>
      <c r="D25" s="6"/>
      <c r="F25" s="153"/>
      <c r="G25" s="154">
        <v>10</v>
      </c>
      <c r="H25" s="153" t="s">
        <v>1493</v>
      </c>
      <c r="I25" s="155">
        <v>2</v>
      </c>
      <c r="J25" s="153"/>
      <c r="L25" s="6"/>
      <c r="N25" s="160"/>
      <c r="P25" s="153" t="str">
        <f>HLOOKUP('4 Language'!$B$2,'4 Language'!$C$400:$H$500,74)</f>
        <v>Vorkammerpunktanguss</v>
      </c>
      <c r="R25" s="6"/>
      <c r="T25" s="6"/>
      <c r="U25" s="156">
        <v>10</v>
      </c>
      <c r="V25" s="153" t="s">
        <v>1099</v>
      </c>
      <c r="W25" s="163">
        <v>1.28</v>
      </c>
      <c r="X25" s="164">
        <v>1.48</v>
      </c>
      <c r="Z25" s="153" t="s">
        <v>793</v>
      </c>
      <c r="AB25" s="6"/>
      <c r="AD25" s="153" t="str">
        <f>HLOOKUP('4 Language'!$B$2,'4 Language'!$C$12:$H$500,305)</f>
        <v>Fließzahl (Einspritzarbeit)</v>
      </c>
      <c r="AF25" s="153" t="s">
        <v>2733</v>
      </c>
      <c r="AH25" s="153"/>
      <c r="AI25" s="6"/>
    </row>
    <row r="26" spans="2:36" s="6" customFormat="1" ht="20.25" customHeight="1" x14ac:dyDescent="0.2">
      <c r="F26" s="153"/>
      <c r="G26" s="154">
        <v>11</v>
      </c>
      <c r="H26" s="153" t="s">
        <v>1491</v>
      </c>
      <c r="I26" s="155">
        <v>2</v>
      </c>
      <c r="J26" s="160"/>
      <c r="P26" s="153" t="str">
        <f>HLOOKUP('4 Language'!$B$2,'4 Language'!$C$400:$H$500,75)</f>
        <v>Schirmanguss</v>
      </c>
      <c r="U26" s="156">
        <v>11</v>
      </c>
      <c r="V26" s="153" t="s">
        <v>629</v>
      </c>
      <c r="W26" s="157">
        <v>1.4</v>
      </c>
      <c r="X26" s="158">
        <v>1.55</v>
      </c>
      <c r="Z26" s="153"/>
      <c r="AD26" s="153"/>
      <c r="AF26" s="153" t="s">
        <v>2734</v>
      </c>
      <c r="AH26" s="153"/>
    </row>
    <row r="27" spans="2:36" s="6" customFormat="1" ht="20.25" customHeight="1" x14ac:dyDescent="0.2">
      <c r="G27" s="154">
        <v>12</v>
      </c>
      <c r="H27" s="153" t="s">
        <v>1494</v>
      </c>
      <c r="I27" s="155">
        <v>4</v>
      </c>
      <c r="P27" s="153" t="str">
        <f>HLOOKUP('4 Language'!$B$2,'4 Language'!$C$400:$H$500,76)</f>
        <v>Ringanguss</v>
      </c>
      <c r="U27" s="156">
        <v>12</v>
      </c>
      <c r="V27" s="153" t="s">
        <v>1455</v>
      </c>
      <c r="W27" s="157">
        <v>1.29</v>
      </c>
      <c r="X27" s="158">
        <v>1.48</v>
      </c>
      <c r="Z27" s="153" t="str">
        <f>HLOOKUP('4 Language'!$B$2,'4 Language'!$C$12:$H$500,156)</f>
        <v>Sondermaterial</v>
      </c>
      <c r="AD27" s="160"/>
      <c r="AF27" s="153" t="s">
        <v>2735</v>
      </c>
      <c r="AH27" s="160"/>
    </row>
    <row r="28" spans="2:36" s="6" customFormat="1" ht="20.25" customHeight="1" x14ac:dyDescent="0.2">
      <c r="G28" s="154">
        <v>13</v>
      </c>
      <c r="H28" s="153" t="s">
        <v>1492</v>
      </c>
      <c r="I28" s="155">
        <v>4</v>
      </c>
      <c r="P28" s="153" t="str">
        <f>HLOOKUP('4 Language'!$B$2,'4 Language'!$C$400:$H$500,77)</f>
        <v>andere</v>
      </c>
      <c r="U28" s="156">
        <v>13</v>
      </c>
      <c r="V28" s="153" t="s">
        <v>1456</v>
      </c>
      <c r="W28" s="157">
        <v>1.5</v>
      </c>
      <c r="X28" s="164">
        <v>1.7</v>
      </c>
      <c r="Z28" s="153"/>
      <c r="AF28" s="153" t="s">
        <v>2736</v>
      </c>
    </row>
    <row r="29" spans="2:36" s="6" customFormat="1" ht="20.25" customHeight="1" x14ac:dyDescent="0.2">
      <c r="G29" s="154">
        <v>14</v>
      </c>
      <c r="H29" s="153" t="s">
        <v>1495</v>
      </c>
      <c r="I29" s="155">
        <v>8</v>
      </c>
      <c r="P29" s="153"/>
      <c r="U29" s="156">
        <v>14</v>
      </c>
      <c r="V29" s="153" t="s">
        <v>652</v>
      </c>
      <c r="W29" s="157">
        <v>1.53</v>
      </c>
      <c r="X29" s="158">
        <v>1.65</v>
      </c>
      <c r="AF29" s="153" t="s">
        <v>2737</v>
      </c>
    </row>
    <row r="30" spans="2:36" s="6" customFormat="1" ht="20.25" customHeight="1" x14ac:dyDescent="0.2">
      <c r="G30" s="154">
        <v>15</v>
      </c>
      <c r="H30" s="153"/>
      <c r="I30" s="155">
        <v>0</v>
      </c>
      <c r="P30" s="160"/>
      <c r="U30" s="156">
        <v>15</v>
      </c>
      <c r="V30" s="153" t="s">
        <v>651</v>
      </c>
      <c r="W30" s="157">
        <v>1.66</v>
      </c>
      <c r="X30" s="158">
        <v>1.78</v>
      </c>
      <c r="AF30" s="153" t="s">
        <v>2738</v>
      </c>
    </row>
    <row r="31" spans="2:36" s="6" customFormat="1" ht="20.25" customHeight="1" x14ac:dyDescent="0.2">
      <c r="U31" s="156">
        <v>16</v>
      </c>
      <c r="V31" s="153" t="s">
        <v>638</v>
      </c>
      <c r="W31" s="157">
        <v>0.95</v>
      </c>
      <c r="X31" s="158">
        <v>1.1599999999999999</v>
      </c>
      <c r="AF31" s="153" t="s">
        <v>2739</v>
      </c>
    </row>
    <row r="32" spans="2:36" s="6" customFormat="1" ht="20.25" customHeight="1" x14ac:dyDescent="0.2">
      <c r="U32" s="156">
        <v>17</v>
      </c>
      <c r="V32" s="153" t="s">
        <v>639</v>
      </c>
      <c r="W32" s="157">
        <v>1.1000000000000001</v>
      </c>
      <c r="X32" s="158">
        <v>1.26</v>
      </c>
      <c r="AF32" s="153" t="s">
        <v>2740</v>
      </c>
    </row>
    <row r="33" spans="8:32" s="6" customFormat="1" ht="20.25" customHeight="1" x14ac:dyDescent="0.2">
      <c r="H33" s="6">
        <v>4</v>
      </c>
      <c r="U33" s="156">
        <v>18</v>
      </c>
      <c r="V33" s="153" t="s">
        <v>640</v>
      </c>
      <c r="W33" s="157">
        <v>1.19</v>
      </c>
      <c r="X33" s="158">
        <v>1.33</v>
      </c>
      <c r="AF33" s="153" t="s">
        <v>2741</v>
      </c>
    </row>
    <row r="34" spans="8:32" s="6" customFormat="1" ht="20.25" customHeight="1" x14ac:dyDescent="0.2">
      <c r="H34" s="6">
        <v>6</v>
      </c>
      <c r="U34" s="156">
        <v>19</v>
      </c>
      <c r="V34" s="153" t="s">
        <v>641</v>
      </c>
      <c r="W34" s="157">
        <v>1.1599999999999999</v>
      </c>
      <c r="X34" s="158">
        <v>1.38</v>
      </c>
      <c r="AF34" s="153" t="s">
        <v>2742</v>
      </c>
    </row>
    <row r="35" spans="8:32" s="6" customFormat="1" ht="20.25" customHeight="1" x14ac:dyDescent="0.2">
      <c r="H35" s="6">
        <v>8</v>
      </c>
      <c r="U35" s="156">
        <v>20</v>
      </c>
      <c r="V35" s="153" t="s">
        <v>642</v>
      </c>
      <c r="W35" s="157">
        <v>1.29</v>
      </c>
      <c r="X35" s="158">
        <v>1.41</v>
      </c>
      <c r="AF35" s="153" t="s">
        <v>2743</v>
      </c>
    </row>
    <row r="36" spans="8:32" s="6" customFormat="1" ht="20.25" customHeight="1" x14ac:dyDescent="0.2">
      <c r="H36" s="6">
        <v>11</v>
      </c>
      <c r="U36" s="156">
        <v>21</v>
      </c>
      <c r="V36" s="153" t="s">
        <v>1100</v>
      </c>
      <c r="W36" s="163">
        <v>1.3411999999999999</v>
      </c>
      <c r="X36" s="164">
        <v>1.5057</v>
      </c>
      <c r="AF36" s="153" t="s">
        <v>2744</v>
      </c>
    </row>
    <row r="37" spans="8:32" s="6" customFormat="1" ht="20.25" customHeight="1" x14ac:dyDescent="0.2">
      <c r="H37" s="6">
        <v>13</v>
      </c>
      <c r="U37" s="156">
        <v>22</v>
      </c>
      <c r="V37" s="153" t="s">
        <v>592</v>
      </c>
      <c r="W37" s="157">
        <v>1.1000000000000001</v>
      </c>
      <c r="X37" s="158">
        <v>1.31</v>
      </c>
      <c r="AF37" s="153" t="s">
        <v>2745</v>
      </c>
    </row>
    <row r="38" spans="8:32" s="6" customFormat="1" ht="20.25" customHeight="1" x14ac:dyDescent="0.2">
      <c r="U38" s="156">
        <v>23</v>
      </c>
      <c r="V38" s="153" t="s">
        <v>633</v>
      </c>
      <c r="W38" s="157">
        <v>1.24</v>
      </c>
      <c r="X38" s="158">
        <v>1.49</v>
      </c>
      <c r="AF38" s="153" t="s">
        <v>2746</v>
      </c>
    </row>
    <row r="39" spans="8:32" s="6" customFormat="1" ht="20.25" customHeight="1" x14ac:dyDescent="0.2">
      <c r="U39" s="156">
        <v>24</v>
      </c>
      <c r="V39" s="153" t="s">
        <v>597</v>
      </c>
      <c r="W39" s="157">
        <v>1.32</v>
      </c>
      <c r="X39" s="158">
        <v>1.53</v>
      </c>
      <c r="AF39" s="153" t="s">
        <v>2747</v>
      </c>
    </row>
    <row r="40" spans="8:32" s="6" customFormat="1" ht="20.25" customHeight="1" x14ac:dyDescent="0.2">
      <c r="U40" s="156">
        <v>25</v>
      </c>
      <c r="V40" s="153" t="s">
        <v>1082</v>
      </c>
      <c r="W40" s="157">
        <v>1.54</v>
      </c>
      <c r="X40" s="164">
        <v>1.74</v>
      </c>
      <c r="AF40" s="153" t="s">
        <v>2748</v>
      </c>
    </row>
    <row r="41" spans="8:32" s="6" customFormat="1" ht="20.25" customHeight="1" x14ac:dyDescent="0.2">
      <c r="U41" s="156">
        <v>26</v>
      </c>
      <c r="V41" s="153" t="s">
        <v>624</v>
      </c>
      <c r="W41" s="157">
        <v>1.24</v>
      </c>
      <c r="X41" s="158">
        <v>1.3</v>
      </c>
      <c r="AF41" s="153" t="s">
        <v>2749</v>
      </c>
    </row>
    <row r="42" spans="8:32" s="6" customFormat="1" ht="20.25" customHeight="1" x14ac:dyDescent="0.2">
      <c r="U42" s="156">
        <v>27</v>
      </c>
      <c r="V42" s="153" t="s">
        <v>1084</v>
      </c>
      <c r="W42" s="157">
        <v>1.1399999999999999</v>
      </c>
      <c r="X42" s="158">
        <v>1.38</v>
      </c>
      <c r="AF42" s="153" t="s">
        <v>2750</v>
      </c>
    </row>
    <row r="43" spans="8:32" s="6" customFormat="1" ht="20.25" customHeight="1" x14ac:dyDescent="0.2">
      <c r="U43" s="156">
        <v>28</v>
      </c>
      <c r="V43" s="153" t="s">
        <v>594</v>
      </c>
      <c r="W43" s="157">
        <v>1.1499999999999999</v>
      </c>
      <c r="X43" s="158">
        <v>1.42</v>
      </c>
      <c r="AF43" s="153"/>
    </row>
    <row r="44" spans="8:32" s="6" customFormat="1" ht="20.25" customHeight="1" x14ac:dyDescent="0.2">
      <c r="U44" s="156">
        <v>29</v>
      </c>
      <c r="V44" s="153" t="s">
        <v>1064</v>
      </c>
      <c r="W44" s="157">
        <v>1.24</v>
      </c>
      <c r="X44" s="158">
        <v>1.48</v>
      </c>
      <c r="AF44" s="153"/>
    </row>
    <row r="45" spans="8:32" s="6" customFormat="1" ht="20.25" customHeight="1" x14ac:dyDescent="0.2">
      <c r="U45" s="156">
        <v>30</v>
      </c>
      <c r="V45" s="153" t="s">
        <v>1065</v>
      </c>
      <c r="W45" s="157">
        <v>1.31</v>
      </c>
      <c r="X45" s="164">
        <v>1.57</v>
      </c>
      <c r="AF45" s="153"/>
    </row>
    <row r="46" spans="8:32" s="6" customFormat="1" ht="20.25" customHeight="1" x14ac:dyDescent="0.2">
      <c r="U46" s="156">
        <v>31</v>
      </c>
      <c r="V46" s="153" t="s">
        <v>1066</v>
      </c>
      <c r="W46" s="157">
        <v>1.35</v>
      </c>
      <c r="X46" s="158">
        <v>1.6</v>
      </c>
      <c r="AF46" s="153"/>
    </row>
    <row r="47" spans="8:32" s="6" customFormat="1" ht="20.25" customHeight="1" x14ac:dyDescent="0.2">
      <c r="U47" s="156">
        <v>32</v>
      </c>
      <c r="V47" s="153" t="s">
        <v>628</v>
      </c>
      <c r="W47" s="157">
        <v>0.78</v>
      </c>
      <c r="X47" s="158">
        <v>0.97</v>
      </c>
      <c r="AF47" s="153"/>
    </row>
    <row r="48" spans="8:32" s="6" customFormat="1" ht="20.25" customHeight="1" x14ac:dyDescent="0.2">
      <c r="U48" s="156">
        <v>33</v>
      </c>
      <c r="V48" s="153" t="s">
        <v>596</v>
      </c>
      <c r="W48" s="157">
        <v>0.78</v>
      </c>
      <c r="X48" s="158">
        <v>1.04</v>
      </c>
      <c r="AF48" s="153"/>
    </row>
    <row r="49" spans="21:32" s="6" customFormat="1" ht="20.25" customHeight="1" x14ac:dyDescent="0.2">
      <c r="U49" s="156">
        <v>34</v>
      </c>
      <c r="V49" s="153" t="s">
        <v>627</v>
      </c>
      <c r="W49" s="157">
        <v>0.96</v>
      </c>
      <c r="X49" s="158">
        <v>1.1399999999999999</v>
      </c>
      <c r="AF49" s="688"/>
    </row>
    <row r="50" spans="21:32" s="6" customFormat="1" ht="20.25" customHeight="1" x14ac:dyDescent="0.2">
      <c r="U50" s="156">
        <v>35</v>
      </c>
      <c r="V50" s="153" t="s">
        <v>595</v>
      </c>
      <c r="W50" s="157">
        <v>0.88</v>
      </c>
      <c r="X50" s="158">
        <v>1.05</v>
      </c>
      <c r="AF50" s="688"/>
    </row>
    <row r="51" spans="21:32" s="6" customFormat="1" ht="20.25" customHeight="1" x14ac:dyDescent="0.2">
      <c r="U51" s="156">
        <v>36</v>
      </c>
      <c r="V51" s="153" t="s">
        <v>623</v>
      </c>
      <c r="W51" s="157">
        <v>0.93</v>
      </c>
      <c r="X51" s="158">
        <v>1.1299999999999999</v>
      </c>
      <c r="AF51" s="688"/>
    </row>
    <row r="52" spans="21:32" s="6" customFormat="1" ht="20.25" customHeight="1" x14ac:dyDescent="0.2">
      <c r="U52" s="156">
        <v>37</v>
      </c>
      <c r="V52" s="153" t="s">
        <v>816</v>
      </c>
      <c r="W52" s="157">
        <v>0.91</v>
      </c>
      <c r="X52" s="158">
        <v>1.1399999999999999</v>
      </c>
    </row>
    <row r="53" spans="21:32" s="6" customFormat="1" ht="20.25" customHeight="1" x14ac:dyDescent="0.2">
      <c r="U53" s="156">
        <v>38</v>
      </c>
      <c r="V53" s="153" t="s">
        <v>1085</v>
      </c>
      <c r="W53" s="157">
        <v>0.91</v>
      </c>
      <c r="X53" s="158">
        <v>1.1200000000000001</v>
      </c>
    </row>
    <row r="54" spans="21:32" s="6" customFormat="1" ht="20.25" customHeight="1" x14ac:dyDescent="0.2">
      <c r="U54" s="156">
        <v>39</v>
      </c>
      <c r="V54" s="153" t="s">
        <v>1095</v>
      </c>
      <c r="W54" s="157">
        <v>0.99</v>
      </c>
      <c r="X54" s="158">
        <v>1.22</v>
      </c>
    </row>
    <row r="55" spans="21:32" s="6" customFormat="1" ht="20.25" customHeight="1" x14ac:dyDescent="0.2">
      <c r="U55" s="156">
        <v>40</v>
      </c>
      <c r="V55" s="153" t="s">
        <v>1096</v>
      </c>
      <c r="W55" s="157">
        <v>1.25</v>
      </c>
      <c r="X55" s="158">
        <v>1.43</v>
      </c>
    </row>
    <row r="56" spans="21:32" s="6" customFormat="1" ht="20.25" customHeight="1" x14ac:dyDescent="0.2">
      <c r="U56" s="156">
        <v>41</v>
      </c>
      <c r="V56" s="153" t="s">
        <v>637</v>
      </c>
      <c r="W56" s="157">
        <v>0.95</v>
      </c>
      <c r="X56" s="158">
        <v>1.06</v>
      </c>
    </row>
    <row r="57" spans="21:32" s="6" customFormat="1" ht="20.25" customHeight="1" x14ac:dyDescent="0.2">
      <c r="U57" s="156">
        <v>42</v>
      </c>
      <c r="V57" s="153" t="s">
        <v>625</v>
      </c>
      <c r="W57" s="157">
        <v>1.35</v>
      </c>
      <c r="X57" s="158">
        <v>1.65</v>
      </c>
    </row>
    <row r="58" spans="21:32" s="65" customFormat="1" ht="20.25" customHeight="1" x14ac:dyDescent="0.2">
      <c r="U58" s="139">
        <v>43</v>
      </c>
      <c r="V58" s="138" t="s">
        <v>626</v>
      </c>
      <c r="W58" s="140">
        <v>1.86</v>
      </c>
      <c r="X58" s="141">
        <v>2.0299999999999998</v>
      </c>
    </row>
    <row r="59" spans="21:32" s="65" customFormat="1" ht="20.25" customHeight="1" x14ac:dyDescent="0.2">
      <c r="U59" s="139">
        <v>44</v>
      </c>
      <c r="V59" s="138" t="s">
        <v>650</v>
      </c>
      <c r="W59" s="140">
        <v>1.06</v>
      </c>
      <c r="X59" s="144">
        <v>1.22</v>
      </c>
    </row>
    <row r="60" spans="21:32" s="65" customFormat="1" ht="20.25" customHeight="1" x14ac:dyDescent="0.2">
      <c r="U60" s="139">
        <v>45</v>
      </c>
      <c r="V60" s="138" t="s">
        <v>647</v>
      </c>
      <c r="W60" s="140">
        <v>0.83</v>
      </c>
      <c r="X60" s="141">
        <v>1</v>
      </c>
    </row>
    <row r="61" spans="21:32" s="65" customFormat="1" ht="20.25" customHeight="1" x14ac:dyDescent="0.2">
      <c r="U61" s="139">
        <v>46</v>
      </c>
      <c r="V61" s="138" t="s">
        <v>648</v>
      </c>
      <c r="W61" s="145">
        <v>0.98</v>
      </c>
      <c r="X61" s="146">
        <v>1.27</v>
      </c>
    </row>
    <row r="62" spans="21:32" s="65" customFormat="1" ht="20.25" customHeight="1" x14ac:dyDescent="0.2">
      <c r="U62" s="139">
        <v>47</v>
      </c>
      <c r="V62" s="138" t="s">
        <v>646</v>
      </c>
      <c r="W62" s="147">
        <v>0.84</v>
      </c>
      <c r="X62" s="148">
        <v>0.96</v>
      </c>
    </row>
    <row r="63" spans="21:32" s="65" customFormat="1" ht="20.25" customHeight="1" x14ac:dyDescent="0.2">
      <c r="U63" s="139">
        <v>48</v>
      </c>
      <c r="V63" s="138" t="s">
        <v>649</v>
      </c>
      <c r="W63" s="145">
        <v>0.72</v>
      </c>
      <c r="X63" s="146">
        <v>0.92</v>
      </c>
    </row>
    <row r="64" spans="21:32" s="65" customFormat="1" ht="20.25" customHeight="1" x14ac:dyDescent="0.2">
      <c r="U64" s="139">
        <v>49</v>
      </c>
      <c r="V64" s="138" t="s">
        <v>1097</v>
      </c>
      <c r="W64" s="149">
        <v>1.034</v>
      </c>
      <c r="X64" s="146">
        <v>1.18</v>
      </c>
    </row>
    <row r="65" spans="1:222" s="65" customFormat="1" ht="20.25" customHeight="1" x14ac:dyDescent="0.2">
      <c r="U65" s="139">
        <v>50</v>
      </c>
      <c r="V65" s="138"/>
      <c r="W65" s="145"/>
      <c r="X65" s="146"/>
    </row>
    <row r="66" spans="1:222" s="65" customFormat="1" ht="20.25" customHeight="1" x14ac:dyDescent="0.2">
      <c r="U66" s="139">
        <v>51</v>
      </c>
      <c r="V66" s="138" t="str">
        <f>HLOOKUP('4 Language'!$B$2,'4 Language'!$C$12:$H$500,156)</f>
        <v>Sondermaterial</v>
      </c>
      <c r="W66" s="147" t="s">
        <v>234</v>
      </c>
      <c r="X66" s="148" t="s">
        <v>234</v>
      </c>
    </row>
    <row r="67" spans="1:222" s="65" customFormat="1" ht="20.25" customHeight="1" x14ac:dyDescent="0.2">
      <c r="U67" s="139">
        <v>52</v>
      </c>
      <c r="V67" s="138"/>
      <c r="W67" s="145"/>
      <c r="X67" s="146"/>
    </row>
    <row r="68" spans="1:222" s="65" customFormat="1" ht="20.25" customHeight="1" x14ac:dyDescent="0.2">
      <c r="U68" s="139">
        <v>53</v>
      </c>
      <c r="V68" s="138"/>
      <c r="W68" s="145"/>
      <c r="X68" s="146"/>
    </row>
    <row r="69" spans="1:222" s="65" customFormat="1" ht="17.25" customHeight="1" x14ac:dyDescent="0.2">
      <c r="V69" s="68"/>
      <c r="W69" s="68"/>
    </row>
    <row r="70" spans="1:222" s="65" customFormat="1" ht="17.25" customHeight="1" x14ac:dyDescent="0.2">
      <c r="V70" s="68"/>
      <c r="W70" s="68"/>
    </row>
    <row r="71" spans="1:222" ht="17.25" customHeight="1" x14ac:dyDescent="0.2"/>
    <row r="72" spans="1:222" ht="17.25" customHeight="1" x14ac:dyDescent="0.2">
      <c r="A72" s="65"/>
      <c r="B72" s="150"/>
      <c r="C72" s="65"/>
      <c r="D72" s="65"/>
      <c r="E72" s="150"/>
      <c r="F72" s="65"/>
      <c r="G72" s="151"/>
      <c r="H72" s="151"/>
      <c r="I72" s="151"/>
      <c r="J72" s="65"/>
      <c r="K72" s="150"/>
      <c r="L72" s="65"/>
      <c r="M72" s="151"/>
      <c r="N72" s="151"/>
      <c r="O72" s="151"/>
      <c r="P72" s="151"/>
      <c r="Q72" s="151"/>
      <c r="R72" s="151"/>
      <c r="S72" s="151"/>
      <c r="T72" s="151"/>
      <c r="U72" s="151"/>
      <c r="V72" s="151"/>
      <c r="W72" s="150"/>
      <c r="Y72" s="151"/>
      <c r="Z72" s="151"/>
      <c r="AA72" s="151"/>
      <c r="AB72" s="151"/>
      <c r="AJ72" s="151"/>
      <c r="AK72" s="151"/>
      <c r="AL72" s="65"/>
      <c r="AM72" s="150"/>
      <c r="AN72" s="65"/>
      <c r="AO72" s="151"/>
      <c r="AP72" s="151"/>
      <c r="AQ72" s="151"/>
      <c r="AR72" s="65"/>
      <c r="AS72" s="150"/>
      <c r="AT72" s="65"/>
      <c r="AU72" s="151"/>
      <c r="AV72" s="151"/>
      <c r="AW72" s="151"/>
      <c r="AX72" s="65"/>
      <c r="AY72" s="150"/>
      <c r="AZ72" s="65"/>
      <c r="BA72" s="151"/>
      <c r="BB72" s="151"/>
      <c r="BC72" s="151"/>
      <c r="BD72" s="65"/>
      <c r="BE72" s="150"/>
      <c r="BF72" s="65"/>
      <c r="BG72" s="151"/>
      <c r="BH72" s="151"/>
      <c r="BI72" s="151"/>
      <c r="BJ72" s="65"/>
      <c r="BK72" s="150"/>
      <c r="BL72" s="65"/>
      <c r="BM72" s="151"/>
      <c r="BN72" s="151"/>
      <c r="BO72" s="151"/>
      <c r="BP72" s="65"/>
      <c r="BQ72" s="150"/>
      <c r="BR72" s="65"/>
      <c r="BS72" s="151"/>
      <c r="BT72" s="151"/>
      <c r="BU72" s="151"/>
      <c r="BV72" s="65"/>
      <c r="BW72" s="150"/>
      <c r="BX72" s="65"/>
      <c r="BY72" s="151"/>
      <c r="BZ72" s="151"/>
      <c r="CA72" s="151"/>
      <c r="CB72" s="65"/>
      <c r="CC72" s="150"/>
      <c r="CD72" s="65"/>
      <c r="CE72" s="151"/>
      <c r="CF72" s="151"/>
      <c r="CG72" s="151"/>
      <c r="CH72" s="65"/>
      <c r="CI72" s="150"/>
      <c r="CJ72" s="65"/>
      <c r="CK72" s="151"/>
      <c r="CL72" s="151"/>
      <c r="CM72" s="151"/>
      <c r="CN72" s="65"/>
      <c r="CO72" s="150"/>
      <c r="CP72" s="65"/>
      <c r="CQ72" s="151"/>
      <c r="CR72" s="151"/>
      <c r="CS72" s="151"/>
      <c r="CT72" s="65"/>
      <c r="CU72" s="150"/>
      <c r="CV72" s="65"/>
      <c r="CW72" s="151"/>
      <c r="CX72" s="151"/>
      <c r="CY72" s="151"/>
      <c r="CZ72" s="65"/>
      <c r="DA72" s="150"/>
      <c r="DB72" s="65"/>
      <c r="DC72" s="151"/>
      <c r="DD72" s="151"/>
      <c r="DE72" s="151"/>
      <c r="DF72" s="65"/>
      <c r="DG72" s="150"/>
      <c r="DH72" s="65"/>
      <c r="DI72" s="151"/>
      <c r="DJ72" s="151"/>
      <c r="DK72" s="151"/>
      <c r="DL72" s="65"/>
      <c r="DM72" s="150"/>
      <c r="DN72" s="65"/>
      <c r="DO72" s="151"/>
      <c r="DP72" s="151"/>
      <c r="DQ72" s="151"/>
      <c r="DR72" s="65"/>
      <c r="DS72" s="150"/>
      <c r="DT72" s="65"/>
      <c r="DU72" s="151"/>
      <c r="DV72" s="151"/>
      <c r="DW72" s="151"/>
      <c r="DX72" s="65"/>
      <c r="DY72" s="150"/>
      <c r="DZ72" s="65"/>
      <c r="EA72" s="151"/>
      <c r="EB72" s="151"/>
      <c r="EC72" s="151"/>
      <c r="ED72" s="65"/>
      <c r="EE72" s="150"/>
      <c r="EF72" s="65"/>
      <c r="EG72" s="151"/>
      <c r="EH72" s="151"/>
      <c r="EI72" s="151"/>
      <c r="EJ72" s="65"/>
      <c r="EK72" s="150"/>
      <c r="EL72" s="65"/>
      <c r="EM72" s="151"/>
      <c r="EN72" s="151"/>
      <c r="EO72" s="151"/>
      <c r="EP72" s="65"/>
      <c r="EQ72" s="150"/>
      <c r="ER72" s="65"/>
      <c r="ES72" s="151"/>
      <c r="ET72" s="151"/>
      <c r="EU72" s="151"/>
      <c r="EV72" s="65"/>
      <c r="EW72" s="150"/>
      <c r="EX72" s="65"/>
      <c r="EY72" s="151"/>
      <c r="EZ72" s="151"/>
      <c r="FA72" s="151"/>
      <c r="FB72" s="65"/>
      <c r="FC72" s="150"/>
      <c r="FD72" s="65"/>
      <c r="FE72" s="151"/>
      <c r="FF72" s="151"/>
      <c r="FG72" s="151"/>
      <c r="FH72" s="65"/>
      <c r="FI72" s="150"/>
      <c r="FJ72" s="65"/>
      <c r="FK72" s="151"/>
      <c r="FL72" s="151"/>
      <c r="FM72" s="151"/>
      <c r="FN72" s="65"/>
      <c r="FO72" s="150"/>
      <c r="FP72" s="65"/>
      <c r="FQ72" s="151"/>
      <c r="FR72" s="151"/>
      <c r="FS72" s="151"/>
      <c r="FT72" s="65"/>
      <c r="FU72" s="150"/>
      <c r="FV72" s="65"/>
      <c r="FW72" s="151"/>
      <c r="FX72" s="151"/>
      <c r="FY72" s="151"/>
      <c r="FZ72" s="65"/>
      <c r="GA72" s="150"/>
      <c r="GB72" s="65"/>
      <c r="GC72" s="151"/>
      <c r="GD72" s="151"/>
      <c r="GE72" s="151"/>
      <c r="GF72" s="65"/>
      <c r="GG72" s="150"/>
      <c r="GH72" s="65"/>
      <c r="GI72" s="151"/>
      <c r="GJ72" s="151"/>
      <c r="GK72" s="151"/>
      <c r="GL72" s="65"/>
      <c r="GM72" s="150"/>
      <c r="GN72" s="65"/>
      <c r="GO72" s="151"/>
      <c r="GP72" s="151"/>
      <c r="GQ72" s="151"/>
      <c r="GR72" s="65"/>
      <c r="GS72" s="150"/>
      <c r="GT72" s="65"/>
      <c r="GU72" s="151"/>
      <c r="GV72" s="151"/>
      <c r="GW72" s="151"/>
      <c r="GX72" s="65"/>
      <c r="GY72" s="150"/>
      <c r="GZ72" s="65"/>
      <c r="HA72" s="151"/>
      <c r="HB72" s="151"/>
      <c r="HC72" s="151"/>
      <c r="HD72" s="65"/>
      <c r="HE72" s="150"/>
      <c r="HF72" s="65"/>
      <c r="HG72" s="151"/>
      <c r="HH72" s="151"/>
      <c r="HI72" s="151"/>
      <c r="HJ72" s="65"/>
      <c r="HK72" s="150"/>
      <c r="HL72" s="65"/>
      <c r="HM72" s="151"/>
      <c r="HN72" s="151"/>
    </row>
    <row r="73" spans="1:222" s="65" customFormat="1" ht="17.25" customHeight="1" x14ac:dyDescent="0.2"/>
    <row r="74" spans="1:222" s="65" customFormat="1" ht="17.25" customHeight="1" x14ac:dyDescent="0.2"/>
    <row r="75" spans="1:222" s="65" customFormat="1" ht="17.25" customHeight="1" x14ac:dyDescent="0.2"/>
    <row r="76" spans="1:222" s="65" customFormat="1" ht="17.25" customHeight="1" x14ac:dyDescent="0.2"/>
    <row r="77" spans="1:222" s="65" customFormat="1" ht="17.25" customHeight="1" x14ac:dyDescent="0.2"/>
    <row r="78" spans="1:222" s="65" customFormat="1" ht="17.25" customHeight="1" x14ac:dyDescent="0.2"/>
    <row r="79" spans="1:222" s="65" customFormat="1" ht="17.25" customHeight="1" x14ac:dyDescent="0.2"/>
    <row r="80" spans="1:222" s="65" customFormat="1" ht="17.25" customHeight="1" x14ac:dyDescent="0.2"/>
    <row r="81" spans="1:222" s="65" customFormat="1" ht="17.25" customHeight="1" x14ac:dyDescent="0.2"/>
    <row r="82" spans="1:222" s="65" customFormat="1" ht="17.25" customHeight="1" x14ac:dyDescent="0.2"/>
    <row r="83" spans="1:222" s="65" customFormat="1" ht="17.25" customHeight="1" x14ac:dyDescent="0.2"/>
    <row r="84" spans="1:222" s="65" customFormat="1" ht="17.25" customHeight="1" x14ac:dyDescent="0.2"/>
    <row r="85" spans="1:222" s="65" customFormat="1" ht="17.25" customHeight="1" x14ac:dyDescent="0.2"/>
    <row r="86" spans="1:222" s="65" customFormat="1" ht="17.25" customHeight="1" x14ac:dyDescent="0.2"/>
    <row r="87" spans="1:222" s="65" customFormat="1" ht="17.25" customHeight="1" x14ac:dyDescent="0.2"/>
    <row r="88" spans="1:222" ht="17.25" customHeight="1" x14ac:dyDescent="0.2">
      <c r="A88" s="65"/>
      <c r="B88" s="150"/>
      <c r="C88" s="65"/>
      <c r="D88" s="65"/>
      <c r="E88" s="150"/>
      <c r="F88" s="65"/>
      <c r="G88" s="151"/>
      <c r="H88" s="151"/>
      <c r="I88" s="151"/>
      <c r="J88" s="65"/>
      <c r="K88" s="150"/>
      <c r="L88" s="65"/>
      <c r="M88" s="151"/>
      <c r="N88" s="151"/>
      <c r="O88" s="151"/>
      <c r="P88" s="151"/>
      <c r="Q88" s="151"/>
      <c r="R88" s="151"/>
      <c r="S88" s="151"/>
      <c r="T88" s="151"/>
      <c r="U88" s="151"/>
      <c r="V88" s="151"/>
      <c r="W88" s="150"/>
      <c r="Y88" s="151"/>
      <c r="Z88" s="151"/>
      <c r="AA88" s="151"/>
      <c r="AB88" s="151"/>
      <c r="AJ88" s="151"/>
      <c r="AK88" s="151"/>
      <c r="AL88" s="65"/>
      <c r="AM88" s="150"/>
      <c r="AN88" s="65"/>
      <c r="AO88" s="151"/>
      <c r="AP88" s="151"/>
      <c r="AQ88" s="151"/>
      <c r="AR88" s="65"/>
      <c r="AS88" s="150"/>
      <c r="AT88" s="65"/>
      <c r="AU88" s="151"/>
      <c r="AV88" s="151"/>
      <c r="AW88" s="151"/>
      <c r="AX88" s="65"/>
      <c r="AY88" s="150"/>
      <c r="AZ88" s="65"/>
      <c r="BA88" s="151"/>
      <c r="BB88" s="151"/>
      <c r="BC88" s="151"/>
      <c r="BD88" s="65"/>
      <c r="BE88" s="150"/>
      <c r="BF88" s="65"/>
      <c r="BG88" s="151"/>
      <c r="BH88" s="151"/>
      <c r="BI88" s="151"/>
      <c r="BJ88" s="65"/>
      <c r="BK88" s="150"/>
      <c r="BL88" s="65"/>
      <c r="BM88" s="151"/>
      <c r="BN88" s="151"/>
      <c r="BO88" s="151"/>
      <c r="BP88" s="65"/>
      <c r="BQ88" s="150"/>
      <c r="BR88" s="65"/>
      <c r="BS88" s="151"/>
      <c r="BT88" s="151"/>
      <c r="BU88" s="151"/>
      <c r="BV88" s="65"/>
      <c r="BW88" s="150"/>
      <c r="BX88" s="65"/>
      <c r="BY88" s="151"/>
      <c r="BZ88" s="151"/>
      <c r="CA88" s="151"/>
      <c r="CB88" s="65"/>
      <c r="CC88" s="150"/>
      <c r="CD88" s="65"/>
      <c r="CE88" s="151"/>
      <c r="CF88" s="151"/>
      <c r="CG88" s="151"/>
      <c r="CH88" s="65"/>
      <c r="CI88" s="150"/>
      <c r="CJ88" s="65"/>
      <c r="CK88" s="151"/>
      <c r="CL88" s="151"/>
      <c r="CM88" s="151"/>
      <c r="CN88" s="65"/>
      <c r="CO88" s="150"/>
      <c r="CP88" s="65"/>
      <c r="CQ88" s="151"/>
      <c r="CR88" s="151"/>
      <c r="CS88" s="151"/>
      <c r="CT88" s="65"/>
      <c r="CU88" s="150"/>
      <c r="CV88" s="65"/>
      <c r="CW88" s="151"/>
      <c r="CX88" s="151"/>
      <c r="CY88" s="151"/>
      <c r="CZ88" s="65"/>
      <c r="DA88" s="150"/>
      <c r="DB88" s="65"/>
      <c r="DC88" s="151"/>
      <c r="DD88" s="151"/>
      <c r="DE88" s="151"/>
      <c r="DF88" s="65"/>
      <c r="DG88" s="150"/>
      <c r="DH88" s="65"/>
      <c r="DI88" s="151"/>
      <c r="DJ88" s="151"/>
      <c r="DK88" s="151"/>
      <c r="DL88" s="65"/>
      <c r="DM88" s="150"/>
      <c r="DN88" s="65"/>
      <c r="DO88" s="151"/>
      <c r="DP88" s="151"/>
      <c r="DQ88" s="151"/>
      <c r="DR88" s="65"/>
      <c r="DS88" s="150"/>
      <c r="DT88" s="65"/>
      <c r="DU88" s="151"/>
      <c r="DV88" s="151"/>
      <c r="DW88" s="151"/>
      <c r="DX88" s="65"/>
      <c r="DY88" s="150"/>
      <c r="DZ88" s="65"/>
      <c r="EA88" s="151"/>
      <c r="EB88" s="151"/>
      <c r="EC88" s="151"/>
      <c r="ED88" s="65"/>
      <c r="EE88" s="150"/>
      <c r="EF88" s="65"/>
      <c r="EG88" s="151"/>
      <c r="EH88" s="151"/>
      <c r="EI88" s="151"/>
      <c r="EJ88" s="65"/>
      <c r="EK88" s="150"/>
      <c r="EL88" s="65"/>
      <c r="EM88" s="151"/>
      <c r="EN88" s="151"/>
      <c r="EO88" s="151"/>
      <c r="EP88" s="65"/>
      <c r="EQ88" s="150"/>
      <c r="ER88" s="65"/>
      <c r="ES88" s="151"/>
      <c r="ET88" s="151"/>
      <c r="EU88" s="151"/>
      <c r="EV88" s="65"/>
      <c r="EW88" s="150"/>
      <c r="EX88" s="65"/>
      <c r="EY88" s="151"/>
      <c r="EZ88" s="151"/>
      <c r="FA88" s="151"/>
      <c r="FB88" s="65"/>
      <c r="FC88" s="150"/>
      <c r="FD88" s="65"/>
      <c r="FE88" s="151"/>
      <c r="FF88" s="151"/>
      <c r="FG88" s="151"/>
      <c r="FH88" s="65"/>
      <c r="FI88" s="150"/>
      <c r="FJ88" s="65"/>
      <c r="FK88" s="151"/>
      <c r="FL88" s="151"/>
      <c r="FM88" s="151"/>
      <c r="FN88" s="65"/>
      <c r="FO88" s="150"/>
      <c r="FP88" s="65"/>
      <c r="FQ88" s="151"/>
      <c r="FR88" s="151"/>
      <c r="FS88" s="151"/>
      <c r="FT88" s="65"/>
      <c r="FU88" s="150"/>
      <c r="FV88" s="65"/>
      <c r="FW88" s="151"/>
      <c r="FX88" s="151"/>
      <c r="FY88" s="151"/>
      <c r="FZ88" s="65"/>
      <c r="GA88" s="150"/>
      <c r="GB88" s="65"/>
      <c r="GC88" s="151"/>
      <c r="GD88" s="151"/>
      <c r="GE88" s="151"/>
      <c r="GF88" s="65"/>
      <c r="GG88" s="150"/>
      <c r="GH88" s="65"/>
      <c r="GI88" s="151"/>
      <c r="GJ88" s="151"/>
      <c r="GK88" s="151"/>
      <c r="GL88" s="65"/>
      <c r="GM88" s="150"/>
      <c r="GN88" s="65"/>
      <c r="GO88" s="151"/>
      <c r="GP88" s="151"/>
      <c r="GQ88" s="151"/>
      <c r="GR88" s="65"/>
      <c r="GS88" s="150"/>
      <c r="GT88" s="65"/>
      <c r="GU88" s="151"/>
      <c r="GV88" s="151"/>
      <c r="GW88" s="151"/>
      <c r="GX88" s="65"/>
      <c r="GY88" s="150"/>
      <c r="GZ88" s="65"/>
      <c r="HA88" s="151"/>
      <c r="HB88" s="151"/>
      <c r="HC88" s="151"/>
      <c r="HD88" s="65"/>
      <c r="HE88" s="150"/>
      <c r="HF88" s="65"/>
      <c r="HG88" s="151"/>
      <c r="HH88" s="151"/>
      <c r="HI88" s="151"/>
      <c r="HJ88" s="65"/>
      <c r="HK88" s="150"/>
      <c r="HL88" s="65"/>
      <c r="HM88" s="151"/>
      <c r="HN88" s="151"/>
    </row>
    <row r="89" spans="1:222" s="65" customFormat="1" ht="17.25" customHeight="1" x14ac:dyDescent="0.2"/>
    <row r="90" spans="1:222" s="65" customFormat="1" ht="17.25" customHeight="1" x14ac:dyDescent="0.2"/>
    <row r="91" spans="1:222" s="65" customFormat="1" ht="17.25" customHeight="1" x14ac:dyDescent="0.2"/>
    <row r="92" spans="1:222" s="65" customFormat="1" ht="17.25" customHeight="1" x14ac:dyDescent="0.2"/>
    <row r="93" spans="1:222" s="65" customFormat="1" ht="17.25" customHeight="1" x14ac:dyDescent="0.2"/>
    <row r="94" spans="1:222" s="65" customFormat="1" ht="17.25" customHeight="1" x14ac:dyDescent="0.2"/>
    <row r="95" spans="1:222" s="65" customFormat="1" ht="17.25" customHeight="1" x14ac:dyDescent="0.2"/>
    <row r="96" spans="1:222" s="65" customFormat="1" ht="17.25" customHeight="1" x14ac:dyDescent="0.2"/>
    <row r="97" spans="1:222" s="65" customFormat="1" ht="17.25" customHeight="1" x14ac:dyDescent="0.2"/>
    <row r="98" spans="1:222" s="65" customFormat="1" ht="17.25" customHeight="1" x14ac:dyDescent="0.2"/>
    <row r="99" spans="1:222" s="65" customFormat="1" ht="17.25" customHeight="1" x14ac:dyDescent="0.2"/>
    <row r="100" spans="1:222" s="65" customFormat="1" ht="17.25" customHeight="1" x14ac:dyDescent="0.2"/>
    <row r="101" spans="1:222" s="65" customFormat="1" ht="17.25" customHeight="1" x14ac:dyDescent="0.2"/>
    <row r="102" spans="1:222" s="65" customFormat="1" ht="17.25" customHeight="1" x14ac:dyDescent="0.2"/>
    <row r="103" spans="1:222" s="65" customFormat="1" ht="31.5" customHeight="1" x14ac:dyDescent="0.2"/>
    <row r="104" spans="1:222" s="65" customFormat="1" ht="17.25" customHeight="1" x14ac:dyDescent="0.2"/>
    <row r="105" spans="1:222" ht="17.25" customHeight="1" x14ac:dyDescent="0.2">
      <c r="A105" s="65"/>
      <c r="B105" s="150"/>
      <c r="C105" s="65"/>
      <c r="D105" s="65"/>
      <c r="E105" s="150"/>
      <c r="F105" s="65"/>
      <c r="G105" s="151"/>
      <c r="H105" s="151"/>
      <c r="I105" s="151"/>
      <c r="J105" s="65"/>
      <c r="K105" s="150"/>
      <c r="L105" s="65"/>
      <c r="M105" s="151"/>
      <c r="N105" s="151"/>
      <c r="O105" s="151"/>
      <c r="P105" s="151"/>
      <c r="Q105" s="151"/>
      <c r="R105" s="151"/>
      <c r="S105" s="151"/>
      <c r="T105" s="151"/>
      <c r="U105" s="151"/>
      <c r="V105" s="151"/>
      <c r="W105" s="150"/>
      <c r="Y105" s="151"/>
      <c r="Z105" s="151"/>
      <c r="AA105" s="151"/>
      <c r="AB105" s="151"/>
      <c r="AJ105" s="151"/>
      <c r="AK105" s="151"/>
      <c r="AL105" s="65"/>
      <c r="AM105" s="150"/>
      <c r="AN105" s="65"/>
      <c r="AO105" s="151"/>
      <c r="AP105" s="151"/>
      <c r="AQ105" s="151"/>
      <c r="AR105" s="65"/>
      <c r="AS105" s="150"/>
      <c r="AT105" s="65"/>
      <c r="AU105" s="151"/>
      <c r="AV105" s="151"/>
      <c r="AW105" s="151"/>
      <c r="AX105" s="65"/>
      <c r="AY105" s="150"/>
      <c r="AZ105" s="65"/>
      <c r="BA105" s="151"/>
      <c r="BB105" s="151"/>
      <c r="BC105" s="151"/>
      <c r="BD105" s="65"/>
      <c r="BE105" s="150"/>
      <c r="BF105" s="65"/>
      <c r="BG105" s="151"/>
      <c r="BH105" s="151"/>
      <c r="BI105" s="151"/>
      <c r="BJ105" s="65"/>
      <c r="BK105" s="150"/>
      <c r="BL105" s="65"/>
      <c r="BM105" s="151"/>
      <c r="BN105" s="151"/>
      <c r="BO105" s="151"/>
      <c r="BP105" s="65"/>
      <c r="BQ105" s="150"/>
      <c r="BR105" s="65"/>
      <c r="BS105" s="151"/>
      <c r="BT105" s="151"/>
      <c r="BU105" s="151"/>
      <c r="BV105" s="65"/>
      <c r="BW105" s="150"/>
      <c r="BX105" s="65"/>
      <c r="BY105" s="151"/>
      <c r="BZ105" s="151"/>
      <c r="CA105" s="151"/>
      <c r="CB105" s="65"/>
      <c r="CC105" s="150"/>
      <c r="CD105" s="65"/>
      <c r="CE105" s="151"/>
      <c r="CF105" s="151"/>
      <c r="CG105" s="151"/>
      <c r="CH105" s="65"/>
      <c r="CI105" s="150"/>
      <c r="CJ105" s="65"/>
      <c r="CK105" s="151"/>
      <c r="CL105" s="151"/>
      <c r="CM105" s="151"/>
      <c r="CN105" s="65"/>
      <c r="CO105" s="150"/>
      <c r="CP105" s="65"/>
      <c r="CQ105" s="151"/>
      <c r="CR105" s="151"/>
      <c r="CS105" s="151"/>
      <c r="CT105" s="65"/>
      <c r="CU105" s="150"/>
      <c r="CV105" s="65"/>
      <c r="CW105" s="151"/>
      <c r="CX105" s="151"/>
      <c r="CY105" s="151"/>
      <c r="CZ105" s="65"/>
      <c r="DA105" s="150"/>
      <c r="DB105" s="65"/>
      <c r="DC105" s="151"/>
      <c r="DD105" s="151"/>
      <c r="DE105" s="151"/>
      <c r="DF105" s="65"/>
      <c r="DG105" s="150"/>
      <c r="DH105" s="65"/>
      <c r="DI105" s="151"/>
      <c r="DJ105" s="151"/>
      <c r="DK105" s="151"/>
      <c r="DL105" s="65"/>
      <c r="DM105" s="150"/>
      <c r="DN105" s="65"/>
      <c r="DO105" s="151"/>
      <c r="DP105" s="151"/>
      <c r="DQ105" s="151"/>
      <c r="DR105" s="65"/>
      <c r="DS105" s="150"/>
      <c r="DT105" s="65"/>
      <c r="DU105" s="151"/>
      <c r="DV105" s="151"/>
      <c r="DW105" s="151"/>
      <c r="DX105" s="65"/>
      <c r="DY105" s="150"/>
      <c r="DZ105" s="65"/>
      <c r="EA105" s="151"/>
      <c r="EB105" s="151"/>
      <c r="EC105" s="151"/>
      <c r="ED105" s="65"/>
      <c r="EE105" s="150"/>
      <c r="EF105" s="65"/>
      <c r="EG105" s="151"/>
      <c r="EH105" s="151"/>
      <c r="EI105" s="151"/>
      <c r="EJ105" s="65"/>
      <c r="EK105" s="150"/>
      <c r="EL105" s="65"/>
      <c r="EM105" s="151"/>
      <c r="EN105" s="151"/>
      <c r="EO105" s="151"/>
      <c r="EP105" s="65"/>
      <c r="EQ105" s="150"/>
      <c r="ER105" s="65"/>
      <c r="ES105" s="151"/>
      <c r="ET105" s="151"/>
      <c r="EU105" s="151"/>
      <c r="EV105" s="65"/>
      <c r="EW105" s="150"/>
      <c r="EX105" s="65"/>
      <c r="EY105" s="151"/>
      <c r="EZ105" s="151"/>
      <c r="FA105" s="151"/>
      <c r="FB105" s="65"/>
      <c r="FC105" s="150"/>
      <c r="FD105" s="65"/>
      <c r="FE105" s="151"/>
      <c r="FF105" s="151"/>
      <c r="FG105" s="151"/>
      <c r="FH105" s="65"/>
      <c r="FI105" s="150"/>
      <c r="FJ105" s="65"/>
      <c r="FK105" s="151"/>
      <c r="FL105" s="151"/>
      <c r="FM105" s="151"/>
      <c r="FN105" s="65"/>
      <c r="FO105" s="150"/>
      <c r="FP105" s="65"/>
      <c r="FQ105" s="151"/>
      <c r="FR105" s="151"/>
      <c r="FS105" s="151"/>
      <c r="FT105" s="65"/>
      <c r="FU105" s="150"/>
      <c r="FV105" s="65"/>
      <c r="FW105" s="151"/>
      <c r="FX105" s="151"/>
      <c r="FY105" s="151"/>
      <c r="FZ105" s="65"/>
      <c r="GA105" s="150"/>
      <c r="GB105" s="65"/>
      <c r="GC105" s="151"/>
      <c r="GD105" s="151"/>
      <c r="GE105" s="151"/>
      <c r="GF105" s="65"/>
      <c r="GG105" s="150"/>
      <c r="GH105" s="65"/>
      <c r="GI105" s="151"/>
      <c r="GJ105" s="151"/>
      <c r="GK105" s="151"/>
      <c r="GL105" s="65"/>
      <c r="GM105" s="150"/>
      <c r="GN105" s="65"/>
      <c r="GO105" s="151"/>
      <c r="GP105" s="151"/>
      <c r="GQ105" s="151"/>
      <c r="GR105" s="65"/>
      <c r="GS105" s="150"/>
      <c r="GT105" s="65"/>
      <c r="GU105" s="151"/>
      <c r="GV105" s="151"/>
      <c r="GW105" s="151"/>
      <c r="GX105" s="65"/>
      <c r="GY105" s="150"/>
      <c r="GZ105" s="65"/>
      <c r="HA105" s="151"/>
      <c r="HB105" s="151"/>
      <c r="HC105" s="151"/>
      <c r="HD105" s="65"/>
      <c r="HE105" s="150"/>
      <c r="HF105" s="65"/>
      <c r="HG105" s="151"/>
      <c r="HH105" s="151"/>
      <c r="HI105" s="151"/>
      <c r="HJ105" s="65"/>
      <c r="HK105" s="150"/>
      <c r="HL105" s="65"/>
      <c r="HM105" s="151"/>
      <c r="HN105" s="151"/>
    </row>
    <row r="106" spans="1:222" s="65" customFormat="1" ht="17.25" customHeight="1" x14ac:dyDescent="0.2"/>
    <row r="107" spans="1:222" s="65" customFormat="1" ht="17.25" customHeight="1" x14ac:dyDescent="0.2"/>
    <row r="108" spans="1:222" s="65" customFormat="1" ht="17.25" customHeight="1" x14ac:dyDescent="0.2"/>
    <row r="109" spans="1:222" s="65" customFormat="1" ht="17.25" customHeight="1" x14ac:dyDescent="0.2"/>
    <row r="110" spans="1:222" s="65" customFormat="1" ht="17.25" customHeight="1" x14ac:dyDescent="0.2"/>
    <row r="111" spans="1:222" s="65" customFormat="1" ht="17.25" customHeight="1" x14ac:dyDescent="0.2"/>
    <row r="112" spans="1:222" s="65" customFormat="1" ht="26.25" customHeight="1" x14ac:dyDescent="0.2"/>
    <row r="113" spans="1:222" ht="17.25" customHeight="1" x14ac:dyDescent="0.2">
      <c r="A113" s="65"/>
      <c r="B113" s="150"/>
      <c r="C113" s="65"/>
      <c r="D113" s="65"/>
      <c r="E113" s="150"/>
      <c r="F113" s="65"/>
      <c r="G113" s="151"/>
      <c r="H113" s="151"/>
      <c r="I113" s="151"/>
      <c r="J113" s="65"/>
      <c r="K113" s="150"/>
      <c r="L113" s="65"/>
      <c r="M113" s="151"/>
      <c r="N113" s="151"/>
      <c r="O113" s="151"/>
      <c r="P113" s="151"/>
      <c r="Q113" s="151"/>
      <c r="R113" s="151"/>
      <c r="S113" s="151"/>
      <c r="T113" s="151"/>
      <c r="U113" s="151"/>
      <c r="V113" s="151"/>
      <c r="W113" s="150"/>
      <c r="Y113" s="151"/>
      <c r="Z113" s="151"/>
      <c r="AA113" s="151"/>
      <c r="AB113" s="151"/>
      <c r="AJ113" s="151"/>
      <c r="AK113" s="151"/>
      <c r="AL113" s="65"/>
      <c r="AM113" s="150"/>
      <c r="AN113" s="65"/>
      <c r="AO113" s="151"/>
      <c r="AP113" s="151"/>
      <c r="AQ113" s="151"/>
      <c r="AR113" s="65"/>
      <c r="AS113" s="150"/>
      <c r="AT113" s="65"/>
      <c r="AU113" s="151"/>
      <c r="AV113" s="151"/>
      <c r="AW113" s="151"/>
      <c r="AX113" s="65"/>
      <c r="AY113" s="150"/>
      <c r="AZ113" s="65"/>
      <c r="BA113" s="151"/>
      <c r="BB113" s="151"/>
      <c r="BC113" s="151"/>
      <c r="BD113" s="65"/>
      <c r="BE113" s="150"/>
      <c r="BF113" s="65"/>
      <c r="BG113" s="151"/>
      <c r="BH113" s="151"/>
      <c r="BI113" s="151"/>
      <c r="BJ113" s="65"/>
      <c r="BK113" s="150"/>
      <c r="BL113" s="65"/>
      <c r="BM113" s="151"/>
      <c r="BN113" s="151"/>
      <c r="BO113" s="151"/>
      <c r="BP113" s="65"/>
      <c r="BQ113" s="150"/>
      <c r="BR113" s="65"/>
      <c r="BS113" s="151"/>
      <c r="BT113" s="151"/>
      <c r="BU113" s="151"/>
      <c r="BV113" s="65"/>
      <c r="BW113" s="150"/>
      <c r="BX113" s="65"/>
      <c r="BY113" s="151"/>
      <c r="BZ113" s="151"/>
      <c r="CA113" s="151"/>
      <c r="CB113" s="65"/>
      <c r="CC113" s="150"/>
      <c r="CD113" s="65"/>
      <c r="CE113" s="151"/>
      <c r="CF113" s="151"/>
      <c r="CG113" s="151"/>
      <c r="CH113" s="65"/>
      <c r="CI113" s="150"/>
      <c r="CJ113" s="65"/>
      <c r="CK113" s="151"/>
      <c r="CL113" s="151"/>
      <c r="CM113" s="151"/>
      <c r="CN113" s="65"/>
      <c r="CO113" s="150"/>
      <c r="CP113" s="65"/>
      <c r="CQ113" s="151"/>
      <c r="CR113" s="151"/>
      <c r="CS113" s="151"/>
      <c r="CT113" s="65"/>
      <c r="CU113" s="150"/>
      <c r="CV113" s="65"/>
      <c r="CW113" s="151"/>
      <c r="CX113" s="151"/>
      <c r="CY113" s="151"/>
      <c r="CZ113" s="65"/>
      <c r="DA113" s="150"/>
      <c r="DB113" s="65"/>
      <c r="DC113" s="151"/>
      <c r="DD113" s="151"/>
      <c r="DE113" s="151"/>
      <c r="DF113" s="65"/>
      <c r="DG113" s="150"/>
      <c r="DH113" s="65"/>
      <c r="DI113" s="151"/>
      <c r="DJ113" s="151"/>
      <c r="DK113" s="151"/>
      <c r="DL113" s="65"/>
      <c r="DM113" s="150"/>
      <c r="DN113" s="65"/>
      <c r="DO113" s="151"/>
      <c r="DP113" s="151"/>
      <c r="DQ113" s="151"/>
      <c r="DR113" s="65"/>
      <c r="DS113" s="150"/>
      <c r="DT113" s="65"/>
      <c r="DU113" s="151"/>
      <c r="DV113" s="151"/>
      <c r="DW113" s="151"/>
      <c r="DX113" s="65"/>
      <c r="DY113" s="150"/>
      <c r="DZ113" s="65"/>
      <c r="EA113" s="151"/>
      <c r="EB113" s="151"/>
      <c r="EC113" s="151"/>
      <c r="ED113" s="65"/>
      <c r="EE113" s="150"/>
      <c r="EF113" s="65"/>
      <c r="EG113" s="151"/>
      <c r="EH113" s="151"/>
      <c r="EI113" s="151"/>
      <c r="EJ113" s="65"/>
      <c r="EK113" s="150"/>
      <c r="EL113" s="65"/>
      <c r="EM113" s="151"/>
      <c r="EN113" s="151"/>
      <c r="EO113" s="151"/>
      <c r="EP113" s="65"/>
      <c r="EQ113" s="150"/>
      <c r="ER113" s="65"/>
      <c r="ES113" s="151"/>
      <c r="ET113" s="151"/>
      <c r="EU113" s="151"/>
      <c r="EV113" s="65"/>
      <c r="EW113" s="150"/>
      <c r="EX113" s="65"/>
      <c r="EY113" s="151"/>
      <c r="EZ113" s="151"/>
      <c r="FA113" s="151"/>
      <c r="FB113" s="65"/>
      <c r="FC113" s="150"/>
      <c r="FD113" s="65"/>
      <c r="FE113" s="151"/>
      <c r="FF113" s="151"/>
      <c r="FG113" s="151"/>
      <c r="FH113" s="65"/>
      <c r="FI113" s="150"/>
      <c r="FJ113" s="65"/>
      <c r="FK113" s="151"/>
      <c r="FL113" s="151"/>
      <c r="FM113" s="151"/>
      <c r="FN113" s="65"/>
      <c r="FO113" s="150"/>
      <c r="FP113" s="65"/>
      <c r="FQ113" s="151"/>
      <c r="FR113" s="151"/>
      <c r="FS113" s="151"/>
      <c r="FT113" s="65"/>
      <c r="FU113" s="150"/>
      <c r="FV113" s="65"/>
      <c r="FW113" s="151"/>
      <c r="FX113" s="151"/>
      <c r="FY113" s="151"/>
      <c r="FZ113" s="65"/>
      <c r="GA113" s="150"/>
      <c r="GB113" s="65"/>
      <c r="GC113" s="151"/>
      <c r="GD113" s="151"/>
      <c r="GE113" s="151"/>
      <c r="GF113" s="65"/>
      <c r="GG113" s="150"/>
      <c r="GH113" s="65"/>
      <c r="GI113" s="151"/>
      <c r="GJ113" s="151"/>
      <c r="GK113" s="151"/>
      <c r="GL113" s="65"/>
      <c r="GM113" s="150"/>
      <c r="GN113" s="65"/>
      <c r="GO113" s="151"/>
      <c r="GP113" s="151"/>
      <c r="GQ113" s="151"/>
      <c r="GR113" s="65"/>
      <c r="GS113" s="150"/>
      <c r="GT113" s="65"/>
      <c r="GU113" s="151"/>
      <c r="GV113" s="151"/>
      <c r="GW113" s="151"/>
      <c r="GX113" s="65"/>
      <c r="GY113" s="150"/>
      <c r="GZ113" s="65"/>
      <c r="HA113" s="151"/>
      <c r="HB113" s="151"/>
      <c r="HC113" s="151"/>
      <c r="HD113" s="65"/>
      <c r="HE113" s="150"/>
      <c r="HF113" s="65"/>
      <c r="HG113" s="151"/>
      <c r="HH113" s="151"/>
      <c r="HI113" s="151"/>
      <c r="HJ113" s="65"/>
      <c r="HK113" s="150"/>
      <c r="HL113" s="65"/>
      <c r="HM113" s="151"/>
      <c r="HN113" s="151"/>
    </row>
    <row r="114" spans="1:222" s="65" customFormat="1" ht="17.25" customHeight="1" x14ac:dyDescent="0.2"/>
    <row r="115" spans="1:222" s="65" customFormat="1" ht="17.25" customHeight="1" x14ac:dyDescent="0.2"/>
    <row r="116" spans="1:222" s="65" customFormat="1" ht="17.25" customHeight="1" x14ac:dyDescent="0.2"/>
    <row r="117" spans="1:222" s="65" customFormat="1" ht="17.25" customHeight="1" x14ac:dyDescent="0.2"/>
    <row r="118" spans="1:222" ht="17.25" customHeight="1" x14ac:dyDescent="0.2">
      <c r="A118" s="65"/>
      <c r="B118" s="150"/>
      <c r="C118" s="65"/>
      <c r="D118" s="65"/>
      <c r="E118" s="150"/>
      <c r="F118" s="65"/>
      <c r="G118" s="151"/>
      <c r="H118" s="151"/>
      <c r="I118" s="151"/>
      <c r="J118" s="65"/>
      <c r="K118" s="150"/>
      <c r="L118" s="65"/>
      <c r="M118" s="151"/>
      <c r="N118" s="151"/>
      <c r="O118" s="151"/>
      <c r="P118" s="151"/>
      <c r="Q118" s="151"/>
      <c r="R118" s="151"/>
      <c r="S118" s="151"/>
      <c r="T118" s="151"/>
      <c r="U118" s="151"/>
      <c r="V118" s="151"/>
      <c r="W118" s="150"/>
      <c r="Y118" s="151"/>
      <c r="Z118" s="151"/>
      <c r="AA118" s="151"/>
      <c r="AB118" s="151"/>
      <c r="AJ118" s="151"/>
      <c r="AK118" s="151"/>
      <c r="AL118" s="65"/>
      <c r="AM118" s="150"/>
      <c r="AN118" s="65"/>
      <c r="AO118" s="151"/>
      <c r="AP118" s="151"/>
      <c r="AQ118" s="151"/>
      <c r="AR118" s="65"/>
      <c r="AS118" s="150"/>
      <c r="AT118" s="65"/>
      <c r="AU118" s="151"/>
      <c r="AV118" s="151"/>
      <c r="AW118" s="151"/>
      <c r="AX118" s="65"/>
      <c r="AY118" s="150"/>
      <c r="AZ118" s="65"/>
      <c r="BA118" s="151"/>
      <c r="BB118" s="151"/>
      <c r="BC118" s="151"/>
      <c r="BD118" s="65"/>
      <c r="BE118" s="150"/>
      <c r="BF118" s="65"/>
      <c r="BG118" s="151"/>
      <c r="BH118" s="151"/>
      <c r="BI118" s="151"/>
      <c r="BJ118" s="65"/>
      <c r="BK118" s="150"/>
      <c r="BL118" s="65"/>
      <c r="BM118" s="151"/>
      <c r="BN118" s="151"/>
      <c r="BO118" s="151"/>
      <c r="BP118" s="65"/>
      <c r="BQ118" s="150"/>
      <c r="BR118" s="65"/>
      <c r="BS118" s="151"/>
      <c r="BT118" s="151"/>
      <c r="BU118" s="151"/>
      <c r="BV118" s="65"/>
      <c r="BW118" s="150"/>
      <c r="BX118" s="65"/>
      <c r="BY118" s="151"/>
      <c r="BZ118" s="151"/>
      <c r="CA118" s="151"/>
      <c r="CB118" s="65"/>
      <c r="CC118" s="150"/>
      <c r="CD118" s="65"/>
      <c r="CE118" s="151"/>
      <c r="CF118" s="151"/>
      <c r="CG118" s="151"/>
      <c r="CH118" s="65"/>
      <c r="CI118" s="150"/>
      <c r="CJ118" s="65"/>
      <c r="CK118" s="151"/>
      <c r="CL118" s="151"/>
      <c r="CM118" s="151"/>
      <c r="CN118" s="65"/>
      <c r="CO118" s="150"/>
      <c r="CP118" s="65"/>
      <c r="CQ118" s="151"/>
      <c r="CR118" s="151"/>
      <c r="CS118" s="151"/>
      <c r="CT118" s="65"/>
      <c r="CU118" s="150"/>
      <c r="CV118" s="65"/>
      <c r="CW118" s="151"/>
      <c r="CX118" s="151"/>
      <c r="CY118" s="151"/>
      <c r="CZ118" s="65"/>
      <c r="DA118" s="150"/>
      <c r="DB118" s="65"/>
      <c r="DC118" s="151"/>
      <c r="DD118" s="151"/>
      <c r="DE118" s="151"/>
      <c r="DF118" s="65"/>
      <c r="DG118" s="150"/>
      <c r="DH118" s="65"/>
      <c r="DI118" s="151"/>
      <c r="DJ118" s="151"/>
      <c r="DK118" s="151"/>
      <c r="DL118" s="65"/>
      <c r="DM118" s="150"/>
      <c r="DN118" s="65"/>
      <c r="DO118" s="151"/>
      <c r="DP118" s="151"/>
      <c r="DQ118" s="151"/>
      <c r="DR118" s="65"/>
      <c r="DS118" s="150"/>
      <c r="DT118" s="65"/>
      <c r="DU118" s="151"/>
      <c r="DV118" s="151"/>
      <c r="DW118" s="151"/>
      <c r="DX118" s="65"/>
      <c r="DY118" s="150"/>
      <c r="DZ118" s="65"/>
      <c r="EA118" s="151"/>
      <c r="EB118" s="151"/>
      <c r="EC118" s="151"/>
      <c r="ED118" s="65"/>
      <c r="EE118" s="150"/>
      <c r="EF118" s="65"/>
      <c r="EG118" s="151"/>
      <c r="EH118" s="151"/>
      <c r="EI118" s="151"/>
      <c r="EJ118" s="65"/>
      <c r="EK118" s="150"/>
      <c r="EL118" s="65"/>
      <c r="EM118" s="151"/>
      <c r="EN118" s="151"/>
      <c r="EO118" s="151"/>
      <c r="EP118" s="65"/>
      <c r="EQ118" s="150"/>
      <c r="ER118" s="65"/>
      <c r="ES118" s="151"/>
      <c r="ET118" s="151"/>
      <c r="EU118" s="151"/>
      <c r="EV118" s="65"/>
      <c r="EW118" s="150"/>
      <c r="EX118" s="65"/>
      <c r="EY118" s="151"/>
      <c r="EZ118" s="151"/>
      <c r="FA118" s="151"/>
      <c r="FB118" s="65"/>
      <c r="FC118" s="150"/>
      <c r="FD118" s="65"/>
      <c r="FE118" s="151"/>
      <c r="FF118" s="151"/>
      <c r="FG118" s="151"/>
      <c r="FH118" s="65"/>
      <c r="FI118" s="150"/>
      <c r="FJ118" s="65"/>
      <c r="FK118" s="151"/>
      <c r="FL118" s="151"/>
      <c r="FM118" s="151"/>
      <c r="FN118" s="65"/>
      <c r="FO118" s="150"/>
      <c r="FP118" s="65"/>
      <c r="FQ118" s="151"/>
      <c r="FR118" s="151"/>
      <c r="FS118" s="151"/>
      <c r="FT118" s="65"/>
      <c r="FU118" s="150"/>
      <c r="FV118" s="65"/>
      <c r="FW118" s="151"/>
      <c r="FX118" s="151"/>
      <c r="FY118" s="151"/>
      <c r="FZ118" s="65"/>
      <c r="GA118" s="150"/>
      <c r="GB118" s="65"/>
      <c r="GC118" s="151"/>
      <c r="GD118" s="151"/>
      <c r="GE118" s="151"/>
      <c r="GF118" s="65"/>
      <c r="GG118" s="150"/>
      <c r="GH118" s="65"/>
      <c r="GI118" s="151"/>
      <c r="GJ118" s="151"/>
      <c r="GK118" s="151"/>
      <c r="GL118" s="65"/>
      <c r="GM118" s="150"/>
      <c r="GN118" s="65"/>
      <c r="GO118" s="151"/>
      <c r="GP118" s="151"/>
      <c r="GQ118" s="151"/>
      <c r="GR118" s="65"/>
      <c r="GS118" s="150"/>
      <c r="GT118" s="65"/>
      <c r="GU118" s="151"/>
      <c r="GV118" s="151"/>
      <c r="GW118" s="151"/>
      <c r="GX118" s="65"/>
      <c r="GY118" s="150"/>
      <c r="GZ118" s="65"/>
      <c r="HA118" s="151"/>
      <c r="HB118" s="151"/>
      <c r="HC118" s="151"/>
      <c r="HD118" s="65"/>
      <c r="HE118" s="150"/>
      <c r="HF118" s="65"/>
      <c r="HG118" s="151"/>
      <c r="HH118" s="151"/>
      <c r="HI118" s="151"/>
      <c r="HJ118" s="65"/>
      <c r="HK118" s="150"/>
      <c r="HL118" s="65"/>
      <c r="HM118" s="151"/>
      <c r="HN118" s="151"/>
    </row>
    <row r="119" spans="1:222" s="65" customFormat="1" ht="17.25" customHeight="1" x14ac:dyDescent="0.2"/>
    <row r="120" spans="1:222" s="65" customFormat="1" ht="17.25" customHeight="1" x14ac:dyDescent="0.2"/>
    <row r="121" spans="1:222" s="65" customFormat="1" ht="17.25" customHeight="1" x14ac:dyDescent="0.2"/>
    <row r="122" spans="1:222" s="65" customFormat="1" ht="17.25" customHeight="1" x14ac:dyDescent="0.2"/>
    <row r="123" spans="1:222" s="65" customFormat="1" ht="17.25" customHeight="1" x14ac:dyDescent="0.2"/>
    <row r="124" spans="1:222" s="65" customFormat="1" ht="17.25" customHeight="1" x14ac:dyDescent="0.2"/>
    <row r="125" spans="1:222" s="65" customFormat="1" ht="17.25" customHeight="1" x14ac:dyDescent="0.2"/>
    <row r="126" spans="1:222" s="65" customFormat="1" ht="17.25" customHeight="1" x14ac:dyDescent="0.2"/>
    <row r="127" spans="1:222" s="65" customFormat="1" ht="17.25" customHeight="1" x14ac:dyDescent="0.2"/>
    <row r="128" spans="1:222" s="65" customFormat="1" ht="17.25" customHeight="1" x14ac:dyDescent="0.2"/>
    <row r="129" spans="14:14" s="65" customFormat="1" ht="17.25" customHeight="1" x14ac:dyDescent="0.2"/>
    <row r="130" spans="14:14" s="65" customFormat="1" ht="17.25" customHeight="1" x14ac:dyDescent="0.2"/>
    <row r="131" spans="14:14" s="65" customFormat="1" ht="17.25" customHeight="1" x14ac:dyDescent="0.2"/>
    <row r="132" spans="14:14" s="65" customFormat="1" ht="17.25" customHeight="1" x14ac:dyDescent="0.2"/>
    <row r="133" spans="14:14" s="65" customFormat="1" ht="17.25" customHeight="1" x14ac:dyDescent="0.2"/>
    <row r="134" spans="14:14" s="65" customFormat="1" ht="17.25" customHeight="1" x14ac:dyDescent="0.2"/>
    <row r="135" spans="14:14" s="65" customFormat="1" ht="17.25" customHeight="1" x14ac:dyDescent="0.2"/>
    <row r="136" spans="14:14" s="65" customFormat="1" ht="17.25" customHeight="1" x14ac:dyDescent="0.2"/>
    <row r="137" spans="14:14" s="65" customFormat="1" ht="17.25" customHeight="1" x14ac:dyDescent="0.2"/>
    <row r="138" spans="14:14" s="65" customFormat="1" ht="17.25" customHeight="1" x14ac:dyDescent="0.2"/>
    <row r="139" spans="14:14" s="65" customFormat="1" ht="17.25" customHeight="1" x14ac:dyDescent="0.2"/>
    <row r="140" spans="14:14" s="65" customFormat="1" ht="17.25" customHeight="1" x14ac:dyDescent="0.2">
      <c r="N140" s="65">
        <v>33</v>
      </c>
    </row>
    <row r="141" spans="14:14" s="65" customFormat="1" ht="17.25" customHeight="1" x14ac:dyDescent="0.2"/>
    <row r="142" spans="14:14" s="65" customFormat="1" ht="17.25" customHeight="1" x14ac:dyDescent="0.2"/>
    <row r="143" spans="14:14" s="65" customFormat="1" ht="17.25" customHeight="1" x14ac:dyDescent="0.2"/>
    <row r="144" spans="14:14" s="65" customFormat="1" ht="17.25" customHeight="1" x14ac:dyDescent="0.2"/>
    <row r="145" s="65" customFormat="1" ht="32.25" customHeight="1" x14ac:dyDescent="0.2"/>
    <row r="146" s="65" customFormat="1" ht="17.25" customHeight="1" x14ac:dyDescent="0.2"/>
    <row r="147" s="65" customFormat="1" ht="17.25" customHeight="1" x14ac:dyDescent="0.2"/>
    <row r="148" s="65" customFormat="1" ht="17.25" customHeight="1" x14ac:dyDescent="0.2"/>
    <row r="149" s="65" customFormat="1" ht="17.25" customHeight="1" x14ac:dyDescent="0.2"/>
    <row r="150" s="65" customFormat="1" ht="17.25" customHeight="1" x14ac:dyDescent="0.2"/>
    <row r="151" s="65" customFormat="1" ht="17.25" customHeight="1" x14ac:dyDescent="0.2"/>
    <row r="152" s="65" customFormat="1" ht="17.25" customHeight="1" x14ac:dyDescent="0.2"/>
    <row r="153" s="65" customFormat="1" ht="17.25" customHeight="1" x14ac:dyDescent="0.2"/>
    <row r="154" s="65" customFormat="1" ht="17.25" customHeight="1" x14ac:dyDescent="0.2"/>
    <row r="155" s="65" customFormat="1" ht="17.25" customHeight="1" x14ac:dyDescent="0.2"/>
    <row r="156" s="65" customFormat="1" ht="17.25" customHeight="1" x14ac:dyDescent="0.2"/>
    <row r="157" s="65" customFormat="1" ht="17.25" customHeight="1" x14ac:dyDescent="0.2"/>
    <row r="158" s="65" customFormat="1" ht="17.25" customHeight="1" x14ac:dyDescent="0.2"/>
    <row r="159" s="65" customFormat="1" ht="17.25" customHeight="1" x14ac:dyDescent="0.2"/>
    <row r="160" s="65" customFormat="1" ht="32.25" customHeight="1" x14ac:dyDescent="0.2"/>
    <row r="161" s="65" customFormat="1" ht="17.25" customHeight="1" x14ac:dyDescent="0.2"/>
    <row r="162" s="152" customFormat="1" ht="17.25" customHeight="1" x14ac:dyDescent="0.2"/>
    <row r="163" ht="17.25" customHeight="1" x14ac:dyDescent="0.2"/>
    <row r="164" ht="17.25" customHeight="1" x14ac:dyDescent="0.2"/>
    <row r="165" ht="17.25" customHeight="1" x14ac:dyDescent="0.2"/>
    <row r="166" ht="17.25" customHeight="1" x14ac:dyDescent="0.2"/>
    <row r="167" ht="17.25" customHeight="1" x14ac:dyDescent="0.2"/>
    <row r="168" ht="17.25" customHeight="1" x14ac:dyDescent="0.2"/>
    <row r="169" ht="17.25" customHeight="1" x14ac:dyDescent="0.2"/>
    <row r="170" ht="17.25" customHeight="1" x14ac:dyDescent="0.2"/>
    <row r="171" ht="17.25" customHeight="1" x14ac:dyDescent="0.2"/>
    <row r="172" ht="17.25" customHeight="1" x14ac:dyDescent="0.2"/>
    <row r="173" ht="17.25" customHeight="1" x14ac:dyDescent="0.2"/>
    <row r="174" ht="17.25" customHeight="1" x14ac:dyDescent="0.2"/>
    <row r="175" ht="17.25" customHeight="1" x14ac:dyDescent="0.2"/>
    <row r="176" ht="17.25" customHeight="1" x14ac:dyDescent="0.2"/>
    <row r="177" ht="17.25" customHeight="1" x14ac:dyDescent="0.2"/>
    <row r="178" ht="17.25" customHeight="1" x14ac:dyDescent="0.2"/>
    <row r="179" ht="17.25" customHeight="1" x14ac:dyDescent="0.2"/>
    <row r="180" ht="17.25" customHeight="1" x14ac:dyDescent="0.2"/>
    <row r="181" ht="17.25" customHeight="1" x14ac:dyDescent="0.2"/>
    <row r="187" ht="17.25" customHeight="1" x14ac:dyDescent="0.2"/>
    <row r="188" ht="17.25" customHeight="1" x14ac:dyDescent="0.2"/>
    <row r="189" ht="17.25" customHeight="1" x14ac:dyDescent="0.2"/>
    <row r="190" ht="17.25" customHeight="1" x14ac:dyDescent="0.2"/>
    <row r="191" ht="17.25" customHeight="1" x14ac:dyDescent="0.2"/>
    <row r="192" ht="17.25" customHeight="1" x14ac:dyDescent="0.2"/>
    <row r="193" ht="17.25" customHeight="1" x14ac:dyDescent="0.2"/>
    <row r="195" ht="33" customHeight="1" x14ac:dyDescent="0.2"/>
    <row r="196" ht="17.25" customHeight="1" x14ac:dyDescent="0.2"/>
    <row r="197" ht="17.25" customHeight="1" x14ac:dyDescent="0.2"/>
    <row r="198" ht="17.25" customHeight="1" x14ac:dyDescent="0.2"/>
    <row r="199" ht="17.25" customHeight="1" x14ac:dyDescent="0.2"/>
    <row r="200" ht="17.25" customHeight="1" x14ac:dyDescent="0.2"/>
    <row r="201" ht="17.25" customHeight="1" x14ac:dyDescent="0.2"/>
    <row r="202" ht="17.25" customHeight="1" x14ac:dyDescent="0.2"/>
    <row r="203" ht="17.25" customHeight="1" x14ac:dyDescent="0.2"/>
    <row r="204" ht="17.25" customHeight="1" x14ac:dyDescent="0.2"/>
    <row r="205" ht="17.25" customHeight="1" x14ac:dyDescent="0.2"/>
    <row r="206" ht="17.25" customHeight="1" x14ac:dyDescent="0.2"/>
    <row r="207" ht="17.25" customHeight="1" x14ac:dyDescent="0.2"/>
    <row r="208" ht="17.25" customHeight="1" x14ac:dyDescent="0.2"/>
    <row r="209" ht="17.25" customHeight="1" x14ac:dyDescent="0.2"/>
    <row r="210" ht="17.25" customHeight="1" x14ac:dyDescent="0.2"/>
    <row r="211" ht="17.25" customHeight="1" x14ac:dyDescent="0.2"/>
    <row r="212" ht="17.25" customHeight="1" x14ac:dyDescent="0.2"/>
    <row r="213" ht="25.5" customHeight="1" x14ac:dyDescent="0.2"/>
    <row r="214" ht="30" customHeight="1" x14ac:dyDescent="0.2"/>
    <row r="215" ht="30" customHeight="1" x14ac:dyDescent="0.2"/>
    <row r="216" ht="17.25" customHeight="1" x14ac:dyDescent="0.2"/>
    <row r="217" ht="17.25" customHeight="1" x14ac:dyDescent="0.2"/>
    <row r="218" ht="17.25" customHeight="1" x14ac:dyDescent="0.2"/>
    <row r="219" ht="31.5" customHeight="1" x14ac:dyDescent="0.2"/>
    <row r="220" ht="17.25" customHeight="1" x14ac:dyDescent="0.2"/>
    <row r="221" ht="17.25" customHeight="1" x14ac:dyDescent="0.2"/>
    <row r="222" ht="32.25" customHeight="1" x14ac:dyDescent="0.2"/>
    <row r="223" ht="32.25" customHeight="1" x14ac:dyDescent="0.2"/>
    <row r="224" ht="17.25" customHeight="1" x14ac:dyDescent="0.2"/>
    <row r="225" spans="2:2" ht="17.25" customHeight="1" x14ac:dyDescent="0.2"/>
    <row r="226" spans="2:2" ht="17.25" customHeight="1" x14ac:dyDescent="0.2"/>
    <row r="227" spans="2:2" ht="17.25" customHeight="1" x14ac:dyDescent="0.2"/>
    <row r="228" spans="2:2" ht="17.25" customHeight="1" x14ac:dyDescent="0.2"/>
    <row r="229" spans="2:2" ht="17.25" customHeight="1" x14ac:dyDescent="0.2"/>
    <row r="230" spans="2:2" ht="17.25" customHeight="1" x14ac:dyDescent="0.2"/>
    <row r="231" spans="2:2" ht="17.25" customHeight="1" x14ac:dyDescent="0.2"/>
    <row r="232" spans="2:2" ht="17.25" customHeight="1" x14ac:dyDescent="0.2"/>
    <row r="233" spans="2:2" ht="17.25" customHeight="1" x14ac:dyDescent="0.2"/>
    <row r="234" spans="2:2" ht="17.25" customHeight="1" x14ac:dyDescent="0.2"/>
    <row r="235" spans="2:2" ht="17.25" customHeight="1" x14ac:dyDescent="0.2"/>
    <row r="236" spans="2:2" ht="17.25" customHeight="1" x14ac:dyDescent="0.2"/>
    <row r="237" spans="2:2" ht="17.25" customHeight="1" x14ac:dyDescent="0.2"/>
    <row r="238" spans="2:2" ht="29.25" customHeight="1" x14ac:dyDescent="0.2"/>
    <row r="239" spans="2:2" ht="17.25" customHeight="1" x14ac:dyDescent="0.2"/>
    <row r="240" spans="2:2" ht="15" customHeight="1" x14ac:dyDescent="0.2">
      <c r="B240" s="150"/>
    </row>
    <row r="241" spans="2:2" ht="15" customHeight="1" x14ac:dyDescent="0.2">
      <c r="B241" s="150"/>
    </row>
    <row r="242" spans="2:2" ht="15" customHeight="1" x14ac:dyDescent="0.2">
      <c r="B242" s="150"/>
    </row>
    <row r="243" spans="2:2" ht="15" customHeight="1" x14ac:dyDescent="0.2">
      <c r="B243" s="150"/>
    </row>
    <row r="244" spans="2:2" ht="15" customHeight="1" x14ac:dyDescent="0.2">
      <c r="B244" s="150"/>
    </row>
    <row r="245" spans="2:2" ht="15" customHeight="1" x14ac:dyDescent="0.2">
      <c r="B245" s="150"/>
    </row>
    <row r="246" spans="2:2" ht="15" customHeight="1" x14ac:dyDescent="0.2">
      <c r="B246" s="150"/>
    </row>
    <row r="247" spans="2:2" ht="15" customHeight="1" x14ac:dyDescent="0.2">
      <c r="B247" s="150"/>
    </row>
    <row r="248" spans="2:2" ht="15" customHeight="1" x14ac:dyDescent="0.2">
      <c r="B248" s="150"/>
    </row>
    <row r="249" spans="2:2" ht="15" customHeight="1" x14ac:dyDescent="0.2">
      <c r="B249" s="150"/>
    </row>
    <row r="250" spans="2:2" ht="15" customHeight="1" x14ac:dyDescent="0.2">
      <c r="B250" s="150"/>
    </row>
    <row r="251" spans="2:2" ht="15" customHeight="1" x14ac:dyDescent="0.2">
      <c r="B251" s="150"/>
    </row>
    <row r="252" spans="2:2" ht="15" customHeight="1" x14ac:dyDescent="0.2">
      <c r="B252" s="150"/>
    </row>
    <row r="253" spans="2:2" ht="15" customHeight="1" x14ac:dyDescent="0.2">
      <c r="B253" s="150"/>
    </row>
    <row r="254" spans="2:2" ht="15" customHeight="1" x14ac:dyDescent="0.2">
      <c r="B254" s="150"/>
    </row>
    <row r="255" spans="2:2" ht="15" customHeight="1" x14ac:dyDescent="0.2">
      <c r="B255" s="150"/>
    </row>
    <row r="256" spans="2:2" ht="15" customHeight="1" x14ac:dyDescent="0.2">
      <c r="B256" s="150"/>
    </row>
    <row r="257" spans="2:2" ht="15" customHeight="1" x14ac:dyDescent="0.2">
      <c r="B257" s="150"/>
    </row>
    <row r="258" spans="2:2" ht="15" customHeight="1" x14ac:dyDescent="0.2">
      <c r="B258" s="150"/>
    </row>
    <row r="259" spans="2:2" ht="15" customHeight="1" x14ac:dyDescent="0.2">
      <c r="B259" s="150"/>
    </row>
    <row r="260" spans="2:2" ht="15" customHeight="1" x14ac:dyDescent="0.2">
      <c r="B260" s="150"/>
    </row>
    <row r="261" spans="2:2" ht="15" customHeight="1" x14ac:dyDescent="0.2">
      <c r="B261" s="150"/>
    </row>
    <row r="262" spans="2:2" ht="15" customHeight="1" x14ac:dyDescent="0.2">
      <c r="B262" s="150"/>
    </row>
    <row r="263" spans="2:2" ht="15" customHeight="1" x14ac:dyDescent="0.2">
      <c r="B263" s="150"/>
    </row>
    <row r="264" spans="2:2" ht="15" customHeight="1" x14ac:dyDescent="0.2">
      <c r="B264" s="150"/>
    </row>
    <row r="265" spans="2:2" ht="15" customHeight="1" x14ac:dyDescent="0.2">
      <c r="B265" s="150"/>
    </row>
    <row r="266" spans="2:2" ht="15" customHeight="1" x14ac:dyDescent="0.2">
      <c r="B266" s="150"/>
    </row>
    <row r="267" spans="2:2" ht="15" customHeight="1" x14ac:dyDescent="0.2">
      <c r="B267" s="150"/>
    </row>
    <row r="268" spans="2:2" ht="15" customHeight="1" x14ac:dyDescent="0.2">
      <c r="B268" s="150"/>
    </row>
    <row r="269" spans="2:2" ht="15" customHeight="1" x14ac:dyDescent="0.2">
      <c r="B269" s="150"/>
    </row>
    <row r="270" spans="2:2" ht="15" customHeight="1" x14ac:dyDescent="0.2">
      <c r="B270" s="150"/>
    </row>
    <row r="271" spans="2:2" ht="15" customHeight="1" x14ac:dyDescent="0.2">
      <c r="B271" s="150"/>
    </row>
    <row r="272" spans="2:2" ht="15" customHeight="1" x14ac:dyDescent="0.2">
      <c r="B272" s="150"/>
    </row>
    <row r="273" spans="2:2" ht="15" customHeight="1" x14ac:dyDescent="0.2">
      <c r="B273" s="150"/>
    </row>
    <row r="274" spans="2:2" ht="15" customHeight="1" x14ac:dyDescent="0.2">
      <c r="B274" s="150"/>
    </row>
    <row r="275" spans="2:2" ht="15" customHeight="1" x14ac:dyDescent="0.2">
      <c r="B275" s="150"/>
    </row>
    <row r="276" spans="2:2" ht="15" customHeight="1" x14ac:dyDescent="0.2">
      <c r="B276" s="150"/>
    </row>
    <row r="277" spans="2:2" ht="15" customHeight="1" x14ac:dyDescent="0.2">
      <c r="B277" s="150"/>
    </row>
    <row r="278" spans="2:2" ht="15" customHeight="1" x14ac:dyDescent="0.2">
      <c r="B278" s="150"/>
    </row>
    <row r="279" spans="2:2" ht="15" customHeight="1" x14ac:dyDescent="0.2">
      <c r="B279" s="150"/>
    </row>
    <row r="280" spans="2:2" ht="15.75" customHeight="1" x14ac:dyDescent="0.2"/>
    <row r="281" spans="2:2" ht="15.75" customHeight="1" x14ac:dyDescent="0.2"/>
    <row r="282" spans="2:2" ht="15.75" customHeight="1" x14ac:dyDescent="0.2"/>
    <row r="283" spans="2:2" ht="15.75" customHeight="1" x14ac:dyDescent="0.2"/>
    <row r="284" spans="2:2" ht="15.75" customHeight="1" x14ac:dyDescent="0.2"/>
    <row r="285" spans="2:2" ht="15.75" customHeight="1" x14ac:dyDescent="0.2"/>
    <row r="286" spans="2:2" ht="15.75" customHeight="1" x14ac:dyDescent="0.2"/>
    <row r="287" spans="2:2" ht="15.75" customHeight="1" x14ac:dyDescent="0.2"/>
    <row r="288" spans="2:2"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sheetData>
  <sheetProtection selectLockedCells="1"/>
  <pageMargins left="0.70866141732283472" right="0.74803149606299213" top="0.39370078740157483" bottom="0.39370078740157483" header="0.19685039370078741" footer="7.874015748031496E-2"/>
  <pageSetup paperSize="9" scale="16" fitToHeight="6" orientation="portrait" verticalDpi="300" r:id="rId1"/>
  <headerFooter alignWithMargins="0"/>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0721" r:id="rId5" name="Button 1">
              <controlPr defaultSize="0" print="0" autoFill="0" autoPict="0" macro="[0]!back">
                <anchor>
                  <from>
                    <xdr:col>0</xdr:col>
                    <xdr:colOff>76200</xdr:colOff>
                    <xdr:row>2</xdr:row>
                    <xdr:rowOff>95250</xdr:rowOff>
                  </from>
                  <to>
                    <xdr:col>1</xdr:col>
                    <xdr:colOff>504825</xdr:colOff>
                    <xdr:row>3</xdr:row>
                    <xdr:rowOff>152400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filterMode="1">
    <tabColor indexed="55"/>
    <outlinePr summaryBelow="0" summaryRight="0"/>
    <pageSetUpPr fitToPage="1"/>
  </sheetPr>
  <dimension ref="A1:FV599"/>
  <sheetViews>
    <sheetView showGridLines="0" zoomScaleNormal="100" workbookViewId="0">
      <pane xSplit="3" ySplit="11" topLeftCell="D102" activePane="bottomRight" state="frozen"/>
      <selection activeCell="AF9" sqref="AF9"/>
      <selection pane="topRight" activeCell="AF9" sqref="AF9"/>
      <selection pane="bottomLeft" activeCell="AF9" sqref="AF9"/>
      <selection pane="bottomRight" activeCell="C602" sqref="C602"/>
    </sheetView>
  </sheetViews>
  <sheetFormatPr baseColWidth="10" defaultColWidth="10" defaultRowHeight="14.25" outlineLevelRow="1" outlineLevelCol="1" x14ac:dyDescent="0.2"/>
  <cols>
    <col min="1" max="1" width="12.375" style="15" customWidth="1"/>
    <col min="2" max="2" width="4.875" style="15" customWidth="1"/>
    <col min="3" max="3" width="45.625" style="17" customWidth="1" outlineLevel="1"/>
    <col min="4" max="4" width="45.625" style="13" customWidth="1"/>
    <col min="5" max="5" width="37.625" style="13" customWidth="1" outlineLevel="1"/>
    <col min="6" max="6" width="52.625" style="13" customWidth="1" outlineLevel="1"/>
    <col min="7" max="7" width="15.25" style="13" customWidth="1" outlineLevel="1"/>
    <col min="8" max="8" width="34.875" style="18" customWidth="1"/>
    <col min="9" max="16384" width="10" style="13"/>
  </cols>
  <sheetData>
    <row r="1" spans="1:8" s="6" customFormat="1" x14ac:dyDescent="0.2">
      <c r="A1" s="4"/>
      <c r="B1" s="4"/>
      <c r="C1" s="5"/>
      <c r="D1" s="4" t="s">
        <v>108</v>
      </c>
      <c r="H1" s="7"/>
    </row>
    <row r="2" spans="1:8" s="6" customFormat="1" ht="17.25" customHeight="1" x14ac:dyDescent="0.2">
      <c r="A2" s="617"/>
      <c r="B2" s="618">
        <v>1</v>
      </c>
      <c r="C2" s="619" t="s">
        <v>77</v>
      </c>
      <c r="D2" s="620" t="s">
        <v>83</v>
      </c>
      <c r="H2" s="7"/>
    </row>
    <row r="3" spans="1:8" s="6" customFormat="1" ht="17.25" customHeight="1" x14ac:dyDescent="0.2">
      <c r="A3" s="621"/>
      <c r="B3" s="621"/>
      <c r="C3" s="622"/>
      <c r="D3" s="2"/>
      <c r="E3" s="8"/>
      <c r="H3" s="7"/>
    </row>
    <row r="4" spans="1:8" s="6" customFormat="1" ht="17.25" customHeight="1" x14ac:dyDescent="0.2">
      <c r="A4" s="621"/>
      <c r="B4" s="623"/>
      <c r="C4" s="624" t="s">
        <v>191</v>
      </c>
      <c r="D4" s="625" t="s">
        <v>84</v>
      </c>
      <c r="E4" s="8"/>
      <c r="H4" s="7"/>
    </row>
    <row r="5" spans="1:8" s="6" customFormat="1" ht="17.25" customHeight="1" x14ac:dyDescent="0.2">
      <c r="A5" s="621"/>
      <c r="B5" s="626"/>
      <c r="C5" s="627" t="s">
        <v>2872</v>
      </c>
      <c r="D5" s="628" t="s">
        <v>85</v>
      </c>
      <c r="E5" s="9"/>
      <c r="H5" s="7"/>
    </row>
    <row r="6" spans="1:8" s="6" customFormat="1" ht="17.25" customHeight="1" x14ac:dyDescent="0.2">
      <c r="A6" s="621"/>
      <c r="B6" s="626"/>
      <c r="C6" s="622" t="s">
        <v>137</v>
      </c>
      <c r="D6" s="628" t="s">
        <v>360</v>
      </c>
      <c r="E6" s="8"/>
      <c r="H6" s="7"/>
    </row>
    <row r="7" spans="1:8" s="6" customFormat="1" ht="17.25" customHeight="1" x14ac:dyDescent="0.2">
      <c r="A7" s="621"/>
      <c r="B7" s="626"/>
      <c r="C7" s="622"/>
      <c r="D7" s="628" t="s">
        <v>1833</v>
      </c>
      <c r="E7" s="8"/>
      <c r="H7" s="7"/>
    </row>
    <row r="8" spans="1:8" s="6" customFormat="1" ht="17.25" customHeight="1" x14ac:dyDescent="0.2">
      <c r="A8" s="621"/>
      <c r="B8" s="629">
        <v>1</v>
      </c>
      <c r="C8" s="630" t="s">
        <v>247</v>
      </c>
      <c r="D8" s="628"/>
      <c r="E8" s="8"/>
      <c r="H8" s="7"/>
    </row>
    <row r="9" spans="1:8" s="6" customFormat="1" ht="17.25" customHeight="1" x14ac:dyDescent="0.2">
      <c r="A9" s="621"/>
      <c r="B9" s="631"/>
      <c r="C9" s="632"/>
      <c r="D9" s="633" t="s">
        <v>486</v>
      </c>
      <c r="H9" s="7"/>
    </row>
    <row r="10" spans="1:8" s="6" customFormat="1" x14ac:dyDescent="0.2">
      <c r="A10" s="10" t="s">
        <v>213</v>
      </c>
      <c r="B10" s="4"/>
      <c r="C10" s="5"/>
      <c r="H10" s="7"/>
    </row>
    <row r="11" spans="1:8" s="11" customFormat="1" ht="25.5" customHeight="1" x14ac:dyDescent="0.2">
      <c r="A11" s="718" t="s">
        <v>493</v>
      </c>
      <c r="B11" s="717">
        <v>0</v>
      </c>
      <c r="C11" s="715" t="s">
        <v>84</v>
      </c>
      <c r="D11" s="715" t="s">
        <v>85</v>
      </c>
      <c r="E11" s="715" t="s">
        <v>366</v>
      </c>
      <c r="F11" s="715" t="s">
        <v>1102</v>
      </c>
      <c r="G11" s="715"/>
      <c r="H11" s="716" t="s">
        <v>486</v>
      </c>
    </row>
    <row r="12" spans="1:8" s="12" customFormat="1" ht="19.5" hidden="1" customHeight="1" x14ac:dyDescent="0.2">
      <c r="A12" s="634"/>
      <c r="B12" s="634">
        <v>1</v>
      </c>
      <c r="C12" s="635">
        <v>1</v>
      </c>
      <c r="D12" s="635">
        <v>2</v>
      </c>
      <c r="E12" s="635">
        <v>3</v>
      </c>
      <c r="F12" s="635">
        <v>4</v>
      </c>
      <c r="G12" s="20">
        <v>5</v>
      </c>
      <c r="H12" s="21">
        <v>6</v>
      </c>
    </row>
    <row r="13" spans="1:8" s="12" customFormat="1" ht="30.75" hidden="1" customHeight="1" x14ac:dyDescent="0.2">
      <c r="A13" s="22"/>
      <c r="B13" s="22">
        <v>2</v>
      </c>
      <c r="C13" s="23" t="s">
        <v>193</v>
      </c>
      <c r="D13" s="23" t="s">
        <v>86</v>
      </c>
      <c r="E13" s="23" t="s">
        <v>192</v>
      </c>
      <c r="F13" s="23" t="s">
        <v>1101</v>
      </c>
      <c r="G13" s="24"/>
      <c r="H13" s="25" t="s">
        <v>2194</v>
      </c>
    </row>
    <row r="14" spans="1:8" s="12" customFormat="1" ht="19.5" hidden="1" customHeight="1" x14ac:dyDescent="0.2">
      <c r="A14" s="26"/>
      <c r="B14" s="22">
        <v>3</v>
      </c>
      <c r="C14" s="23" t="s">
        <v>84</v>
      </c>
      <c r="D14" s="23" t="s">
        <v>85</v>
      </c>
      <c r="E14" s="27" t="s">
        <v>819</v>
      </c>
      <c r="F14" s="27" t="s">
        <v>1102</v>
      </c>
      <c r="G14" s="24"/>
      <c r="H14" s="25" t="s">
        <v>2195</v>
      </c>
    </row>
    <row r="15" spans="1:8" s="12" customFormat="1" ht="19.5" hidden="1" customHeight="1" x14ac:dyDescent="0.2">
      <c r="A15" s="26"/>
      <c r="B15" s="22">
        <v>4</v>
      </c>
      <c r="C15" s="28" t="s">
        <v>1686</v>
      </c>
      <c r="D15" s="28" t="s">
        <v>1687</v>
      </c>
      <c r="E15" s="28" t="s">
        <v>2364</v>
      </c>
      <c r="F15" s="28" t="s">
        <v>1103</v>
      </c>
      <c r="G15" s="29"/>
      <c r="H15" s="25" t="s">
        <v>2196</v>
      </c>
    </row>
    <row r="16" spans="1:8" s="12" customFormat="1" ht="19.5" hidden="1" customHeight="1" outlineLevel="1" x14ac:dyDescent="0.2">
      <c r="A16" s="26"/>
      <c r="B16" s="22">
        <v>5</v>
      </c>
      <c r="C16" s="28" t="s">
        <v>33</v>
      </c>
      <c r="D16" s="28" t="s">
        <v>33</v>
      </c>
      <c r="E16" s="28" t="s">
        <v>820</v>
      </c>
      <c r="F16" s="28" t="s">
        <v>1104</v>
      </c>
      <c r="G16" s="29"/>
      <c r="H16" s="25" t="s">
        <v>2197</v>
      </c>
    </row>
    <row r="17" spans="1:8" s="12" customFormat="1" ht="19.5" hidden="1" customHeight="1" outlineLevel="1" x14ac:dyDescent="0.2">
      <c r="A17" s="26"/>
      <c r="B17" s="22">
        <v>6</v>
      </c>
      <c r="C17" s="28" t="s">
        <v>251</v>
      </c>
      <c r="D17" s="28" t="s">
        <v>588</v>
      </c>
      <c r="E17" s="28" t="s">
        <v>821</v>
      </c>
      <c r="F17" s="28" t="s">
        <v>1105</v>
      </c>
      <c r="G17" s="29"/>
      <c r="H17" s="25" t="s">
        <v>2198</v>
      </c>
    </row>
    <row r="18" spans="1:8" s="12" customFormat="1" ht="59.25" hidden="1" customHeight="1" outlineLevel="1" x14ac:dyDescent="0.2">
      <c r="A18" s="26"/>
      <c r="B18" s="22">
        <v>7</v>
      </c>
      <c r="C18" s="28" t="s">
        <v>2365</v>
      </c>
      <c r="D18" s="28" t="s">
        <v>2366</v>
      </c>
      <c r="E18" s="28" t="s">
        <v>2367</v>
      </c>
      <c r="F18" s="636" t="s">
        <v>1106</v>
      </c>
      <c r="G18" s="28"/>
      <c r="H18" s="25" t="s">
        <v>2199</v>
      </c>
    </row>
    <row r="19" spans="1:8" s="12" customFormat="1" ht="59.25" hidden="1" customHeight="1" outlineLevel="1" x14ac:dyDescent="0.2">
      <c r="A19" s="26" t="s">
        <v>1091</v>
      </c>
      <c r="B19" s="22">
        <v>8</v>
      </c>
      <c r="C19" s="28" t="s">
        <v>1093</v>
      </c>
      <c r="D19" s="28" t="s">
        <v>1094</v>
      </c>
      <c r="E19" s="28" t="s">
        <v>2368</v>
      </c>
      <c r="F19" s="28" t="s">
        <v>1107</v>
      </c>
      <c r="G19" s="29"/>
      <c r="H19" s="25" t="s">
        <v>2200</v>
      </c>
    </row>
    <row r="20" spans="1:8" s="6" customFormat="1" ht="19.5" hidden="1" customHeight="1" outlineLevel="1" x14ac:dyDescent="0.2">
      <c r="A20" s="26"/>
      <c r="B20" s="22">
        <v>9</v>
      </c>
      <c r="C20" s="31" t="s">
        <v>104</v>
      </c>
      <c r="D20" s="31" t="s">
        <v>106</v>
      </c>
      <c r="E20" s="31" t="s">
        <v>822</v>
      </c>
      <c r="F20" s="31" t="s">
        <v>1108</v>
      </c>
      <c r="G20" s="29"/>
      <c r="H20" s="25" t="s">
        <v>2201</v>
      </c>
    </row>
    <row r="21" spans="1:8" s="6" customFormat="1" ht="19.5" hidden="1" customHeight="1" outlineLevel="1" x14ac:dyDescent="0.2">
      <c r="A21" s="26"/>
      <c r="B21" s="22">
        <v>10</v>
      </c>
      <c r="C21" s="31" t="s">
        <v>105</v>
      </c>
      <c r="D21" s="31" t="s">
        <v>107</v>
      </c>
      <c r="E21" s="31" t="s">
        <v>823</v>
      </c>
      <c r="F21" s="31" t="s">
        <v>1109</v>
      </c>
      <c r="G21" s="29"/>
      <c r="H21" s="25" t="s">
        <v>2202</v>
      </c>
    </row>
    <row r="22" spans="1:8" s="6" customFormat="1" ht="19.5" hidden="1" customHeight="1" outlineLevel="1" x14ac:dyDescent="0.2">
      <c r="A22" s="26" t="s">
        <v>683</v>
      </c>
      <c r="B22" s="22">
        <v>11</v>
      </c>
      <c r="C22" s="31" t="s">
        <v>480</v>
      </c>
      <c r="D22" s="31" t="s">
        <v>682</v>
      </c>
      <c r="E22" s="41" t="s">
        <v>824</v>
      </c>
      <c r="F22" s="41" t="s">
        <v>1110</v>
      </c>
      <c r="G22" s="33"/>
      <c r="H22" s="25" t="s">
        <v>2203</v>
      </c>
    </row>
    <row r="23" spans="1:8" s="6" customFormat="1" ht="19.5" hidden="1" customHeight="1" outlineLevel="1" x14ac:dyDescent="0.2">
      <c r="A23" s="604" t="s">
        <v>1841</v>
      </c>
      <c r="B23" s="22">
        <v>12</v>
      </c>
      <c r="C23" s="31" t="s">
        <v>2706</v>
      </c>
      <c r="D23" s="31" t="s">
        <v>2705</v>
      </c>
      <c r="E23" s="31" t="s">
        <v>2704</v>
      </c>
      <c r="F23" s="31" t="s">
        <v>2703</v>
      </c>
      <c r="G23" s="33"/>
      <c r="H23" s="25" t="s">
        <v>2204</v>
      </c>
    </row>
    <row r="24" spans="1:8" s="6" customFormat="1" ht="19.5" hidden="1" customHeight="1" outlineLevel="1" x14ac:dyDescent="0.2">
      <c r="A24" s="604" t="s">
        <v>1841</v>
      </c>
      <c r="B24" s="22">
        <v>13</v>
      </c>
      <c r="C24" s="31" t="s">
        <v>1835</v>
      </c>
      <c r="D24" s="31" t="s">
        <v>1836</v>
      </c>
      <c r="E24" s="31" t="s">
        <v>2369</v>
      </c>
      <c r="F24" s="31" t="s">
        <v>2370</v>
      </c>
      <c r="G24" s="33"/>
      <c r="H24" s="25" t="s">
        <v>2205</v>
      </c>
    </row>
    <row r="25" spans="1:8" s="6" customFormat="1" ht="19.5" hidden="1" customHeight="1" outlineLevel="1" x14ac:dyDescent="0.2">
      <c r="A25" s="640" t="s">
        <v>2775</v>
      </c>
      <c r="B25" s="22">
        <v>14</v>
      </c>
      <c r="C25" s="31" t="s">
        <v>2780</v>
      </c>
      <c r="D25" s="31" t="s">
        <v>2783</v>
      </c>
      <c r="E25" s="31" t="s">
        <v>2798</v>
      </c>
      <c r="F25" s="31" t="s">
        <v>2799</v>
      </c>
      <c r="G25" s="29"/>
      <c r="H25" s="25" t="s">
        <v>2206</v>
      </c>
    </row>
    <row r="26" spans="1:8" s="6" customFormat="1" ht="19.5" hidden="1" customHeight="1" outlineLevel="1" x14ac:dyDescent="0.2">
      <c r="A26" s="640" t="s">
        <v>2775</v>
      </c>
      <c r="B26" s="22">
        <v>15</v>
      </c>
      <c r="C26" s="31" t="s">
        <v>2781</v>
      </c>
      <c r="D26" s="31" t="s">
        <v>2782</v>
      </c>
      <c r="E26" s="31" t="s">
        <v>2800</v>
      </c>
      <c r="F26" s="31" t="s">
        <v>2801</v>
      </c>
      <c r="G26" s="29"/>
      <c r="H26" s="25" t="s">
        <v>2207</v>
      </c>
    </row>
    <row r="27" spans="1:8" s="6" customFormat="1" ht="19.5" hidden="1" customHeight="1" outlineLevel="1" x14ac:dyDescent="0.2">
      <c r="A27" s="604" t="s">
        <v>1841</v>
      </c>
      <c r="B27" s="22">
        <v>16</v>
      </c>
      <c r="C27" s="31" t="s">
        <v>1838</v>
      </c>
      <c r="D27" s="31" t="s">
        <v>1839</v>
      </c>
      <c r="E27" s="31" t="s">
        <v>2371</v>
      </c>
      <c r="F27" s="31" t="s">
        <v>1112</v>
      </c>
      <c r="G27" s="29"/>
      <c r="H27" s="25" t="s">
        <v>2208</v>
      </c>
    </row>
    <row r="28" spans="1:8" ht="19.5" hidden="1" customHeight="1" outlineLevel="1" x14ac:dyDescent="0.2">
      <c r="A28" s="26"/>
      <c r="B28" s="22">
        <v>17</v>
      </c>
      <c r="C28" s="34" t="s">
        <v>2707</v>
      </c>
      <c r="D28" s="34" t="s">
        <v>2708</v>
      </c>
      <c r="E28" s="31" t="s">
        <v>2709</v>
      </c>
      <c r="F28" s="31" t="s">
        <v>1113</v>
      </c>
      <c r="G28" s="35"/>
      <c r="H28" s="25" t="s">
        <v>2209</v>
      </c>
    </row>
    <row r="29" spans="1:8" s="14" customFormat="1" ht="19.5" hidden="1" customHeight="1" outlineLevel="1" x14ac:dyDescent="0.2">
      <c r="A29" s="26"/>
      <c r="B29" s="22">
        <v>18</v>
      </c>
      <c r="C29" s="34" t="s">
        <v>331</v>
      </c>
      <c r="D29" s="34" t="s">
        <v>332</v>
      </c>
      <c r="E29" s="31" t="s">
        <v>2372</v>
      </c>
      <c r="F29" s="31" t="s">
        <v>1114</v>
      </c>
      <c r="G29" s="35"/>
      <c r="H29" s="25" t="s">
        <v>2210</v>
      </c>
    </row>
    <row r="30" spans="1:8" s="6" customFormat="1" ht="19.5" hidden="1" customHeight="1" outlineLevel="1" x14ac:dyDescent="0.2">
      <c r="A30" s="26" t="s">
        <v>602</v>
      </c>
      <c r="B30" s="22">
        <v>19</v>
      </c>
      <c r="C30" s="36" t="s">
        <v>604</v>
      </c>
      <c r="D30" s="36" t="s">
        <v>606</v>
      </c>
      <c r="E30" s="31" t="s">
        <v>826</v>
      </c>
      <c r="F30" s="31" t="s">
        <v>1115</v>
      </c>
      <c r="G30" s="37"/>
      <c r="H30" s="25" t="s">
        <v>2211</v>
      </c>
    </row>
    <row r="31" spans="1:8" s="6" customFormat="1" ht="19.5" hidden="1" customHeight="1" outlineLevel="1" x14ac:dyDescent="0.2">
      <c r="A31" s="26" t="s">
        <v>602</v>
      </c>
      <c r="B31" s="22">
        <v>20</v>
      </c>
      <c r="C31" s="31" t="s">
        <v>605</v>
      </c>
      <c r="D31" s="31" t="s">
        <v>238</v>
      </c>
      <c r="E31" s="31" t="s">
        <v>827</v>
      </c>
      <c r="F31" s="31" t="s">
        <v>1116</v>
      </c>
      <c r="G31" s="28"/>
      <c r="H31" s="25" t="s">
        <v>2212</v>
      </c>
    </row>
    <row r="32" spans="1:8" s="6" customFormat="1" ht="19.5" hidden="1" customHeight="1" outlineLevel="1" x14ac:dyDescent="0.2">
      <c r="A32" s="26"/>
      <c r="B32" s="22">
        <v>21</v>
      </c>
      <c r="C32" s="31" t="s">
        <v>614</v>
      </c>
      <c r="D32" s="31" t="s">
        <v>615</v>
      </c>
      <c r="E32" s="31" t="s">
        <v>828</v>
      </c>
      <c r="F32" s="31" t="s">
        <v>1117</v>
      </c>
      <c r="G32" s="28"/>
      <c r="H32" s="25" t="s">
        <v>2213</v>
      </c>
    </row>
    <row r="33" spans="1:8" s="6" customFormat="1" ht="19.5" hidden="1" customHeight="1" outlineLevel="1" x14ac:dyDescent="0.2">
      <c r="A33" s="26"/>
      <c r="B33" s="22">
        <v>22</v>
      </c>
      <c r="C33" s="38" t="s">
        <v>326</v>
      </c>
      <c r="D33" s="38" t="s">
        <v>279</v>
      </c>
      <c r="E33" s="31" t="s">
        <v>829</v>
      </c>
      <c r="F33" s="31" t="s">
        <v>1118</v>
      </c>
      <c r="G33" s="39"/>
      <c r="H33" s="25" t="s">
        <v>2214</v>
      </c>
    </row>
    <row r="34" spans="1:8" s="6" customFormat="1" ht="19.5" hidden="1" customHeight="1" outlineLevel="1" x14ac:dyDescent="0.2">
      <c r="A34" s="26"/>
      <c r="B34" s="22">
        <v>23</v>
      </c>
      <c r="C34" s="31" t="s">
        <v>337</v>
      </c>
      <c r="D34" s="40" t="s">
        <v>338</v>
      </c>
      <c r="E34" s="28" t="s">
        <v>2373</v>
      </c>
      <c r="F34" s="28" t="s">
        <v>1119</v>
      </c>
      <c r="G34" s="29"/>
      <c r="H34" s="25" t="s">
        <v>2215</v>
      </c>
    </row>
    <row r="35" spans="1:8" s="6" customFormat="1" ht="19.5" hidden="1" customHeight="1" outlineLevel="1" x14ac:dyDescent="0.2">
      <c r="A35" s="26" t="s">
        <v>683</v>
      </c>
      <c r="B35" s="22">
        <v>24</v>
      </c>
      <c r="C35" s="36" t="s">
        <v>334</v>
      </c>
      <c r="D35" s="36" t="s">
        <v>684</v>
      </c>
      <c r="E35" s="31" t="s">
        <v>830</v>
      </c>
      <c r="F35" s="31" t="s">
        <v>1120</v>
      </c>
      <c r="G35" s="37"/>
      <c r="H35" s="25" t="s">
        <v>2216</v>
      </c>
    </row>
    <row r="36" spans="1:8" s="6" customFormat="1" ht="19.5" hidden="1" customHeight="1" outlineLevel="1" x14ac:dyDescent="0.2">
      <c r="A36" s="26"/>
      <c r="B36" s="22">
        <v>25</v>
      </c>
      <c r="C36" s="36" t="s">
        <v>87</v>
      </c>
      <c r="D36" s="36" t="s">
        <v>98</v>
      </c>
      <c r="E36" s="31" t="s">
        <v>831</v>
      </c>
      <c r="F36" s="31" t="s">
        <v>1121</v>
      </c>
      <c r="G36" s="37"/>
      <c r="H36" s="25" t="s">
        <v>2217</v>
      </c>
    </row>
    <row r="37" spans="1:8" s="6" customFormat="1" ht="19.5" hidden="1" customHeight="1" outlineLevel="1" x14ac:dyDescent="0.2">
      <c r="A37" s="26" t="s">
        <v>683</v>
      </c>
      <c r="B37" s="22">
        <v>26</v>
      </c>
      <c r="C37" s="31" t="s">
        <v>478</v>
      </c>
      <c r="D37" s="31" t="s">
        <v>685</v>
      </c>
      <c r="E37" s="31" t="s">
        <v>832</v>
      </c>
      <c r="F37" s="31" t="s">
        <v>1122</v>
      </c>
      <c r="G37" s="29"/>
      <c r="H37" s="25" t="s">
        <v>2218</v>
      </c>
    </row>
    <row r="38" spans="1:8" s="6" customFormat="1" ht="19.5" hidden="1" customHeight="1" outlineLevel="1" x14ac:dyDescent="0.2">
      <c r="A38" s="26"/>
      <c r="B38" s="22">
        <v>27</v>
      </c>
      <c r="C38" s="41" t="s">
        <v>479</v>
      </c>
      <c r="D38" s="41" t="s">
        <v>479</v>
      </c>
      <c r="E38" s="31" t="s">
        <v>479</v>
      </c>
      <c r="F38" s="31" t="s">
        <v>1123</v>
      </c>
      <c r="G38" s="29"/>
      <c r="H38" s="25" t="s">
        <v>2219</v>
      </c>
    </row>
    <row r="39" spans="1:8" s="6" customFormat="1" ht="19.5" hidden="1" customHeight="1" outlineLevel="1" x14ac:dyDescent="0.2">
      <c r="A39" s="26"/>
      <c r="B39" s="22">
        <v>28</v>
      </c>
      <c r="C39" s="31" t="s">
        <v>4</v>
      </c>
      <c r="D39" s="31" t="s">
        <v>2374</v>
      </c>
      <c r="E39" s="31" t="s">
        <v>2375</v>
      </c>
      <c r="F39" s="31" t="s">
        <v>1124</v>
      </c>
      <c r="G39" s="28"/>
      <c r="H39" s="25" t="s">
        <v>2220</v>
      </c>
    </row>
    <row r="40" spans="1:8" s="6" customFormat="1" ht="19.5" hidden="1" customHeight="1" outlineLevel="1" x14ac:dyDescent="0.2">
      <c r="A40" s="26"/>
      <c r="B40" s="22">
        <v>29</v>
      </c>
      <c r="C40" s="36" t="s">
        <v>21</v>
      </c>
      <c r="D40" s="36" t="s">
        <v>22</v>
      </c>
      <c r="E40" s="31" t="s">
        <v>2376</v>
      </c>
      <c r="F40" s="31" t="s">
        <v>1125</v>
      </c>
      <c r="G40" s="37"/>
      <c r="H40" s="25" t="s">
        <v>2221</v>
      </c>
    </row>
    <row r="41" spans="1:8" s="6" customFormat="1" ht="19.5" hidden="1" customHeight="1" outlineLevel="1" x14ac:dyDescent="0.2">
      <c r="A41" s="26"/>
      <c r="B41" s="22">
        <v>30</v>
      </c>
      <c r="C41" s="36" t="s">
        <v>215</v>
      </c>
      <c r="D41" s="36" t="s">
        <v>73</v>
      </c>
      <c r="E41" s="31" t="s">
        <v>2377</v>
      </c>
      <c r="F41" s="31" t="s">
        <v>1126</v>
      </c>
      <c r="G41" s="37"/>
      <c r="H41" s="25" t="s">
        <v>2222</v>
      </c>
    </row>
    <row r="42" spans="1:8" s="6" customFormat="1" ht="19.5" hidden="1" customHeight="1" outlineLevel="1" x14ac:dyDescent="0.2">
      <c r="A42" s="26"/>
      <c r="B42" s="22">
        <v>31</v>
      </c>
      <c r="C42" s="31" t="s">
        <v>358</v>
      </c>
      <c r="D42" s="31" t="s">
        <v>359</v>
      </c>
      <c r="E42" s="31" t="s">
        <v>833</v>
      </c>
      <c r="F42" s="31" t="s">
        <v>1127</v>
      </c>
      <c r="G42" s="28"/>
      <c r="H42" s="25" t="s">
        <v>2223</v>
      </c>
    </row>
    <row r="43" spans="1:8" s="6" customFormat="1" ht="19.5" hidden="1" customHeight="1" outlineLevel="1" x14ac:dyDescent="0.2">
      <c r="A43" s="26" t="s">
        <v>683</v>
      </c>
      <c r="B43" s="22">
        <v>32</v>
      </c>
      <c r="C43" s="31" t="s">
        <v>133</v>
      </c>
      <c r="D43" s="31" t="s">
        <v>2378</v>
      </c>
      <c r="E43" s="31" t="s">
        <v>2379</v>
      </c>
      <c r="F43" s="31" t="s">
        <v>1128</v>
      </c>
      <c r="G43" s="28"/>
      <c r="H43" s="25" t="s">
        <v>2224</v>
      </c>
    </row>
    <row r="44" spans="1:8" s="6" customFormat="1" ht="19.5" hidden="1" customHeight="1" outlineLevel="1" x14ac:dyDescent="0.2">
      <c r="A44" s="26" t="s">
        <v>683</v>
      </c>
      <c r="B44" s="22">
        <v>33</v>
      </c>
      <c r="C44" s="36" t="s">
        <v>88</v>
      </c>
      <c r="D44" s="36" t="s">
        <v>686</v>
      </c>
      <c r="E44" s="31" t="s">
        <v>834</v>
      </c>
      <c r="F44" s="31" t="s">
        <v>1129</v>
      </c>
      <c r="G44" s="37"/>
      <c r="H44" s="25" t="s">
        <v>2225</v>
      </c>
    </row>
    <row r="45" spans="1:8" s="6" customFormat="1" ht="19.5" hidden="1" customHeight="1" outlineLevel="1" x14ac:dyDescent="0.2">
      <c r="A45" s="26" t="s">
        <v>683</v>
      </c>
      <c r="B45" s="22">
        <v>34</v>
      </c>
      <c r="C45" s="36" t="s">
        <v>452</v>
      </c>
      <c r="D45" s="36" t="s">
        <v>687</v>
      </c>
      <c r="E45" s="31" t="s">
        <v>2380</v>
      </c>
      <c r="F45" s="31" t="s">
        <v>1130</v>
      </c>
      <c r="G45" s="37"/>
      <c r="H45" s="25" t="s">
        <v>2226</v>
      </c>
    </row>
    <row r="46" spans="1:8" s="6" customFormat="1" ht="19.5" hidden="1" customHeight="1" outlineLevel="1" x14ac:dyDescent="0.2">
      <c r="A46" s="604" t="s">
        <v>1841</v>
      </c>
      <c r="B46" s="22">
        <v>35</v>
      </c>
      <c r="C46" s="27" t="s">
        <v>1842</v>
      </c>
      <c r="D46" s="27" t="s">
        <v>1843</v>
      </c>
      <c r="E46" s="31" t="s">
        <v>2381</v>
      </c>
      <c r="F46" s="31" t="s">
        <v>1131</v>
      </c>
      <c r="G46" s="42"/>
      <c r="H46" s="25" t="s">
        <v>2227</v>
      </c>
    </row>
    <row r="47" spans="1:8" s="6" customFormat="1" ht="19.5" hidden="1" customHeight="1" outlineLevel="1" x14ac:dyDescent="0.2">
      <c r="A47" s="26" t="s">
        <v>683</v>
      </c>
      <c r="B47" s="22">
        <v>36</v>
      </c>
      <c r="C47" s="27" t="s">
        <v>94</v>
      </c>
      <c r="D47" s="31" t="s">
        <v>688</v>
      </c>
      <c r="E47" s="31" t="s">
        <v>2382</v>
      </c>
      <c r="F47" s="31" t="s">
        <v>1132</v>
      </c>
      <c r="G47" s="42"/>
      <c r="H47" s="25" t="s">
        <v>2228</v>
      </c>
    </row>
    <row r="48" spans="1:8" s="6" customFormat="1" ht="19.5" hidden="1" customHeight="1" outlineLevel="1" x14ac:dyDescent="0.2">
      <c r="A48" s="26"/>
      <c r="B48" s="22">
        <v>37</v>
      </c>
      <c r="C48" s="38" t="s">
        <v>275</v>
      </c>
      <c r="D48" s="38" t="s">
        <v>276</v>
      </c>
      <c r="E48" s="31" t="s">
        <v>835</v>
      </c>
      <c r="F48" s="31" t="s">
        <v>1133</v>
      </c>
      <c r="G48" s="39"/>
      <c r="H48" s="25" t="s">
        <v>2229</v>
      </c>
    </row>
    <row r="49" spans="1:8" s="6" customFormat="1" ht="19.5" hidden="1" customHeight="1" outlineLevel="1" x14ac:dyDescent="0.2">
      <c r="A49" s="26"/>
      <c r="B49" s="22">
        <v>38</v>
      </c>
      <c r="C49" s="31" t="s">
        <v>113</v>
      </c>
      <c r="D49" s="31" t="s">
        <v>111</v>
      </c>
      <c r="E49" s="31" t="s">
        <v>836</v>
      </c>
      <c r="F49" s="31" t="s">
        <v>1134</v>
      </c>
      <c r="G49" s="28"/>
      <c r="H49" s="25" t="s">
        <v>2230</v>
      </c>
    </row>
    <row r="50" spans="1:8" s="6" customFormat="1" ht="19.5" hidden="1" customHeight="1" outlineLevel="1" x14ac:dyDescent="0.2">
      <c r="A50" s="26" t="s">
        <v>683</v>
      </c>
      <c r="B50" s="22">
        <v>39</v>
      </c>
      <c r="C50" s="27" t="s">
        <v>127</v>
      </c>
      <c r="D50" s="31" t="s">
        <v>689</v>
      </c>
      <c r="E50" s="31" t="s">
        <v>837</v>
      </c>
      <c r="F50" s="31" t="s">
        <v>1135</v>
      </c>
      <c r="G50" s="42"/>
      <c r="H50" s="25" t="s">
        <v>2231</v>
      </c>
    </row>
    <row r="51" spans="1:8" s="6" customFormat="1" ht="19.5" hidden="1" customHeight="1" outlineLevel="1" x14ac:dyDescent="0.2">
      <c r="A51" s="26"/>
      <c r="B51" s="22">
        <v>40</v>
      </c>
      <c r="C51" s="27" t="s">
        <v>95</v>
      </c>
      <c r="D51" s="27" t="s">
        <v>32</v>
      </c>
      <c r="E51" s="31" t="s">
        <v>838</v>
      </c>
      <c r="F51" s="31" t="s">
        <v>1136</v>
      </c>
      <c r="G51" s="42"/>
      <c r="H51" s="25" t="s">
        <v>2232</v>
      </c>
    </row>
    <row r="52" spans="1:8" s="6" customFormat="1" ht="19.5" hidden="1" customHeight="1" outlineLevel="1" x14ac:dyDescent="0.2">
      <c r="A52" s="26" t="s">
        <v>683</v>
      </c>
      <c r="B52" s="22">
        <v>41</v>
      </c>
      <c r="C52" s="27" t="s">
        <v>96</v>
      </c>
      <c r="D52" s="27" t="s">
        <v>690</v>
      </c>
      <c r="E52" s="31" t="s">
        <v>2383</v>
      </c>
      <c r="F52" s="31" t="s">
        <v>1137</v>
      </c>
      <c r="G52" s="42"/>
      <c r="H52" s="25" t="s">
        <v>2233</v>
      </c>
    </row>
    <row r="53" spans="1:8" s="6" customFormat="1" ht="19.5" hidden="1" customHeight="1" outlineLevel="1" x14ac:dyDescent="0.2">
      <c r="A53" s="26"/>
      <c r="B53" s="22">
        <v>42</v>
      </c>
      <c r="C53" s="27" t="s">
        <v>277</v>
      </c>
      <c r="D53" s="27" t="s">
        <v>278</v>
      </c>
      <c r="E53" s="31" t="s">
        <v>2384</v>
      </c>
      <c r="F53" s="31" t="s">
        <v>1138</v>
      </c>
      <c r="G53" s="42"/>
      <c r="H53" s="25" t="s">
        <v>2234</v>
      </c>
    </row>
    <row r="54" spans="1:8" s="6" customFormat="1" ht="19.5" hidden="1" customHeight="1" outlineLevel="1" x14ac:dyDescent="0.2">
      <c r="A54" s="26"/>
      <c r="B54" s="22">
        <v>43</v>
      </c>
      <c r="C54" s="27" t="s">
        <v>112</v>
      </c>
      <c r="D54" s="27" t="s">
        <v>263</v>
      </c>
      <c r="E54" s="31" t="s">
        <v>2385</v>
      </c>
      <c r="F54" s="31" t="s">
        <v>1139</v>
      </c>
      <c r="G54" s="42"/>
      <c r="H54" s="25" t="s">
        <v>2235</v>
      </c>
    </row>
    <row r="55" spans="1:8" s="6" customFormat="1" ht="19.5" hidden="1" customHeight="1" outlineLevel="1" x14ac:dyDescent="0.2">
      <c r="A55" s="26"/>
      <c r="B55" s="22">
        <v>44</v>
      </c>
      <c r="C55" s="27" t="s">
        <v>113</v>
      </c>
      <c r="D55" s="31" t="s">
        <v>111</v>
      </c>
      <c r="E55" s="31" t="s">
        <v>836</v>
      </c>
      <c r="F55" s="31" t="s">
        <v>1134</v>
      </c>
      <c r="G55" s="28"/>
      <c r="H55" s="25" t="s">
        <v>2236</v>
      </c>
    </row>
    <row r="56" spans="1:8" s="6" customFormat="1" ht="19.5" hidden="1" customHeight="1" outlineLevel="1" x14ac:dyDescent="0.2">
      <c r="A56" s="26"/>
      <c r="B56" s="22">
        <v>45</v>
      </c>
      <c r="C56" s="27" t="s">
        <v>109</v>
      </c>
      <c r="D56" s="31" t="s">
        <v>110</v>
      </c>
      <c r="E56" s="31" t="s">
        <v>839</v>
      </c>
      <c r="F56" s="31" t="s">
        <v>1140</v>
      </c>
      <c r="G56" s="28"/>
      <c r="H56" s="25" t="s">
        <v>2237</v>
      </c>
    </row>
    <row r="57" spans="1:8" s="6" customFormat="1" ht="19.5" hidden="1" customHeight="1" outlineLevel="1" x14ac:dyDescent="0.2">
      <c r="A57" s="26"/>
      <c r="B57" s="22">
        <v>46</v>
      </c>
      <c r="C57" s="27" t="s">
        <v>364</v>
      </c>
      <c r="D57" s="31" t="s">
        <v>365</v>
      </c>
      <c r="E57" s="31" t="s">
        <v>840</v>
      </c>
      <c r="F57" s="31" t="s">
        <v>1141</v>
      </c>
      <c r="G57" s="28"/>
      <c r="H57" s="25" t="s">
        <v>2238</v>
      </c>
    </row>
    <row r="58" spans="1:8" s="6" customFormat="1" ht="19.5" hidden="1" customHeight="1" outlineLevel="1" x14ac:dyDescent="0.2">
      <c r="A58" s="26"/>
      <c r="B58" s="22">
        <v>47</v>
      </c>
      <c r="C58" s="27" t="s">
        <v>362</v>
      </c>
      <c r="D58" s="27" t="s">
        <v>198</v>
      </c>
      <c r="E58" s="31" t="s">
        <v>841</v>
      </c>
      <c r="F58" s="31" t="s">
        <v>1142</v>
      </c>
      <c r="G58" s="42"/>
      <c r="H58" s="25" t="s">
        <v>2239</v>
      </c>
    </row>
    <row r="59" spans="1:8" s="6" customFormat="1" ht="19.5" hidden="1" customHeight="1" outlineLevel="1" x14ac:dyDescent="0.2">
      <c r="A59" s="26"/>
      <c r="B59" s="22">
        <v>48</v>
      </c>
      <c r="C59" s="31" t="s">
        <v>363</v>
      </c>
      <c r="D59" s="31" t="s">
        <v>266</v>
      </c>
      <c r="E59" s="31" t="s">
        <v>2386</v>
      </c>
      <c r="F59" s="31" t="s">
        <v>1143</v>
      </c>
      <c r="G59" s="28"/>
      <c r="H59" s="25" t="s">
        <v>2240</v>
      </c>
    </row>
    <row r="60" spans="1:8" s="6" customFormat="1" ht="19.5" hidden="1" customHeight="1" outlineLevel="1" x14ac:dyDescent="0.2">
      <c r="A60" s="604" t="s">
        <v>1841</v>
      </c>
      <c r="B60" s="22">
        <v>49</v>
      </c>
      <c r="C60" s="27" t="s">
        <v>1844</v>
      </c>
      <c r="D60" s="27" t="s">
        <v>1845</v>
      </c>
      <c r="E60" s="31" t="s">
        <v>2387</v>
      </c>
      <c r="F60" s="31" t="s">
        <v>2388</v>
      </c>
      <c r="G60" s="42"/>
      <c r="H60" s="25" t="s">
        <v>2241</v>
      </c>
    </row>
    <row r="61" spans="1:8" s="6" customFormat="1" ht="19.5" hidden="1" customHeight="1" outlineLevel="1" x14ac:dyDescent="0.2">
      <c r="A61" s="26"/>
      <c r="B61" s="22">
        <v>50</v>
      </c>
      <c r="C61" s="27" t="s">
        <v>194</v>
      </c>
      <c r="D61" s="27" t="s">
        <v>477</v>
      </c>
      <c r="E61" s="31" t="s">
        <v>2389</v>
      </c>
      <c r="F61" s="31" t="s">
        <v>1144</v>
      </c>
      <c r="G61" s="42"/>
      <c r="H61" s="25" t="s">
        <v>2242</v>
      </c>
    </row>
    <row r="62" spans="1:8" s="6" customFormat="1" ht="19.5" hidden="1" customHeight="1" outlineLevel="1" x14ac:dyDescent="0.2">
      <c r="A62" s="26"/>
      <c r="B62" s="22">
        <v>51</v>
      </c>
      <c r="C62" s="38" t="s">
        <v>2390</v>
      </c>
      <c r="D62" s="38" t="s">
        <v>2391</v>
      </c>
      <c r="E62" s="31" t="s">
        <v>2392</v>
      </c>
      <c r="F62" s="31" t="s">
        <v>1145</v>
      </c>
      <c r="G62" s="39"/>
      <c r="H62" s="25" t="s">
        <v>2243</v>
      </c>
    </row>
    <row r="63" spans="1:8" s="6" customFormat="1" ht="19.5" hidden="1" customHeight="1" outlineLevel="1" x14ac:dyDescent="0.2">
      <c r="A63" s="26"/>
      <c r="B63" s="22">
        <v>52</v>
      </c>
      <c r="C63" s="38" t="s">
        <v>2393</v>
      </c>
      <c r="D63" s="38" t="s">
        <v>34</v>
      </c>
      <c r="E63" s="31" t="s">
        <v>2394</v>
      </c>
      <c r="F63" s="31" t="s">
        <v>34</v>
      </c>
      <c r="G63" s="39"/>
      <c r="H63" s="25" t="s">
        <v>2244</v>
      </c>
    </row>
    <row r="64" spans="1:8" s="6" customFormat="1" ht="19.5" hidden="1" customHeight="1" outlineLevel="1" x14ac:dyDescent="0.2">
      <c r="A64" s="26" t="s">
        <v>683</v>
      </c>
      <c r="B64" s="22">
        <v>53</v>
      </c>
      <c r="C64" s="27" t="s">
        <v>97</v>
      </c>
      <c r="D64" s="27" t="s">
        <v>691</v>
      </c>
      <c r="E64" s="31" t="s">
        <v>842</v>
      </c>
      <c r="F64" s="31" t="s">
        <v>1146</v>
      </c>
      <c r="G64" s="42"/>
      <c r="H64" s="25" t="s">
        <v>2245</v>
      </c>
    </row>
    <row r="65" spans="1:178" s="6" customFormat="1" ht="19.5" hidden="1" customHeight="1" outlineLevel="1" x14ac:dyDescent="0.2">
      <c r="A65" s="26" t="s">
        <v>602</v>
      </c>
      <c r="B65" s="22">
        <v>54</v>
      </c>
      <c r="C65" s="27" t="s">
        <v>607</v>
      </c>
      <c r="D65" s="27" t="s">
        <v>608</v>
      </c>
      <c r="E65" s="31" t="s">
        <v>843</v>
      </c>
      <c r="F65" s="31" t="s">
        <v>1147</v>
      </c>
      <c r="G65" s="42"/>
      <c r="H65" s="25" t="s">
        <v>2246</v>
      </c>
    </row>
    <row r="66" spans="1:178" s="6" customFormat="1" ht="19.5" hidden="1" customHeight="1" outlineLevel="1" x14ac:dyDescent="0.2">
      <c r="A66" s="26"/>
      <c r="B66" s="22">
        <v>55</v>
      </c>
      <c r="C66" s="36" t="s">
        <v>335</v>
      </c>
      <c r="D66" s="36" t="s">
        <v>256</v>
      </c>
      <c r="E66" s="31" t="s">
        <v>2395</v>
      </c>
      <c r="F66" s="31" t="s">
        <v>1148</v>
      </c>
      <c r="G66" s="37"/>
      <c r="H66" s="25" t="s">
        <v>2247</v>
      </c>
    </row>
    <row r="67" spans="1:178" s="6" customFormat="1" ht="19.5" hidden="1" customHeight="1" outlineLevel="1" x14ac:dyDescent="0.2">
      <c r="A67" s="26"/>
      <c r="B67" s="22">
        <v>56</v>
      </c>
      <c r="C67" s="36" t="s">
        <v>140</v>
      </c>
      <c r="D67" s="36" t="s">
        <v>270</v>
      </c>
      <c r="E67" s="31" t="s">
        <v>2396</v>
      </c>
      <c r="F67" s="31" t="s">
        <v>1149</v>
      </c>
      <c r="G67" s="37"/>
      <c r="H67" s="25" t="s">
        <v>2248</v>
      </c>
    </row>
    <row r="68" spans="1:178" s="6" customFormat="1" ht="19.5" hidden="1" customHeight="1" outlineLevel="1" x14ac:dyDescent="0.2">
      <c r="A68" s="26" t="s">
        <v>602</v>
      </c>
      <c r="B68" s="22">
        <v>57</v>
      </c>
      <c r="C68" s="36" t="s">
        <v>609</v>
      </c>
      <c r="D68" s="36" t="s">
        <v>611</v>
      </c>
      <c r="E68" s="31" t="s">
        <v>844</v>
      </c>
      <c r="F68" s="31" t="s">
        <v>1150</v>
      </c>
      <c r="G68" s="37"/>
      <c r="H68" s="25" t="s">
        <v>2249</v>
      </c>
    </row>
    <row r="69" spans="1:178" s="6" customFormat="1" ht="19.5" hidden="1" customHeight="1" outlineLevel="1" x14ac:dyDescent="0.2">
      <c r="A69" s="26" t="s">
        <v>602</v>
      </c>
      <c r="B69" s="22">
        <v>58</v>
      </c>
      <c r="C69" s="36" t="s">
        <v>610</v>
      </c>
      <c r="D69" s="36" t="s">
        <v>612</v>
      </c>
      <c r="E69" s="31" t="s">
        <v>2397</v>
      </c>
      <c r="F69" s="31" t="s">
        <v>1151</v>
      </c>
      <c r="G69" s="37"/>
      <c r="H69" s="25" t="s">
        <v>2250</v>
      </c>
    </row>
    <row r="70" spans="1:178" s="6" customFormat="1" ht="19.5" hidden="1" customHeight="1" outlineLevel="1" x14ac:dyDescent="0.2">
      <c r="A70" s="26" t="s">
        <v>683</v>
      </c>
      <c r="B70" s="22">
        <v>59</v>
      </c>
      <c r="C70" s="31" t="s">
        <v>101</v>
      </c>
      <c r="D70" s="31" t="s">
        <v>692</v>
      </c>
      <c r="E70" s="31" t="s">
        <v>845</v>
      </c>
      <c r="F70" s="31" t="s">
        <v>1152</v>
      </c>
      <c r="G70" s="43"/>
      <c r="H70" s="25" t="s">
        <v>2251</v>
      </c>
    </row>
    <row r="71" spans="1:178" s="6" customFormat="1" ht="19.5" hidden="1" customHeight="1" outlineLevel="1" x14ac:dyDescent="0.2">
      <c r="A71" s="26" t="s">
        <v>683</v>
      </c>
      <c r="B71" s="22">
        <v>60</v>
      </c>
      <c r="C71" s="31" t="s">
        <v>102</v>
      </c>
      <c r="D71" s="31" t="s">
        <v>693</v>
      </c>
      <c r="E71" s="31" t="s">
        <v>846</v>
      </c>
      <c r="F71" s="31" t="s">
        <v>1153</v>
      </c>
      <c r="G71" s="43"/>
      <c r="H71" s="25" t="s">
        <v>2252</v>
      </c>
    </row>
    <row r="72" spans="1:178" s="6" customFormat="1" ht="19.5" hidden="1" customHeight="1" outlineLevel="1" x14ac:dyDescent="0.2">
      <c r="A72" s="26"/>
      <c r="B72" s="22">
        <v>61</v>
      </c>
      <c r="C72" s="36" t="s">
        <v>336</v>
      </c>
      <c r="D72" s="36" t="s">
        <v>261</v>
      </c>
      <c r="E72" s="31" t="s">
        <v>2398</v>
      </c>
      <c r="F72" s="31" t="s">
        <v>1154</v>
      </c>
      <c r="G72" s="37"/>
      <c r="H72" s="25" t="s">
        <v>2253</v>
      </c>
    </row>
    <row r="73" spans="1:178" s="6" customFormat="1" ht="19.5" hidden="1" customHeight="1" outlineLevel="1" x14ac:dyDescent="0.2">
      <c r="A73" s="26"/>
      <c r="B73" s="22">
        <v>62</v>
      </c>
      <c r="C73" s="41" t="s">
        <v>368</v>
      </c>
      <c r="D73" s="41" t="s">
        <v>264</v>
      </c>
      <c r="E73" s="31" t="s">
        <v>2399</v>
      </c>
      <c r="F73" s="31" t="s">
        <v>1155</v>
      </c>
      <c r="G73" s="29"/>
      <c r="H73" s="25" t="s">
        <v>2254</v>
      </c>
    </row>
    <row r="74" spans="1:178" s="6" customFormat="1" ht="19.5" hidden="1" customHeight="1" outlineLevel="1" x14ac:dyDescent="0.2">
      <c r="A74" s="26"/>
      <c r="B74" s="22">
        <v>63</v>
      </c>
      <c r="C74" s="41" t="s">
        <v>369</v>
      </c>
      <c r="D74" s="41" t="s">
        <v>265</v>
      </c>
      <c r="E74" s="31" t="s">
        <v>847</v>
      </c>
      <c r="F74" s="31" t="s">
        <v>1156</v>
      </c>
      <c r="G74" s="44"/>
      <c r="H74" s="25" t="s">
        <v>2255</v>
      </c>
    </row>
    <row r="75" spans="1:178" ht="19.5" hidden="1" customHeight="1" outlineLevel="1" x14ac:dyDescent="0.2">
      <c r="A75" s="26"/>
      <c r="B75" s="22">
        <v>64</v>
      </c>
      <c r="C75" s="27" t="s">
        <v>89</v>
      </c>
      <c r="D75" s="27" t="s">
        <v>214</v>
      </c>
      <c r="E75" s="31" t="s">
        <v>848</v>
      </c>
      <c r="F75" s="31" t="s">
        <v>1157</v>
      </c>
      <c r="G75" s="42"/>
      <c r="H75" s="25" t="s">
        <v>2256</v>
      </c>
    </row>
    <row r="76" spans="1:178" ht="19.5" hidden="1" customHeight="1" outlineLevel="1" x14ac:dyDescent="0.2">
      <c r="A76" s="26"/>
      <c r="B76" s="22">
        <v>65</v>
      </c>
      <c r="C76" s="27" t="s">
        <v>90</v>
      </c>
      <c r="D76" s="27" t="s">
        <v>262</v>
      </c>
      <c r="E76" s="31" t="s">
        <v>2400</v>
      </c>
      <c r="F76" s="31" t="s">
        <v>1158</v>
      </c>
      <c r="G76" s="42"/>
      <c r="H76" s="25" t="s">
        <v>2257</v>
      </c>
      <c r="I76" s="5"/>
      <c r="J76" s="5"/>
      <c r="K76" s="5"/>
      <c r="L76" s="6"/>
      <c r="M76" s="15"/>
      <c r="N76" s="6"/>
      <c r="O76" s="5"/>
      <c r="P76" s="5"/>
      <c r="Q76" s="5"/>
      <c r="R76" s="6"/>
      <c r="S76" s="15"/>
      <c r="T76" s="6"/>
      <c r="U76" s="5"/>
      <c r="V76" s="5"/>
      <c r="W76" s="5"/>
      <c r="X76" s="6"/>
      <c r="Y76" s="15"/>
      <c r="Z76" s="6"/>
      <c r="AA76" s="5"/>
      <c r="AB76" s="5"/>
      <c r="AC76" s="5"/>
      <c r="AD76" s="6"/>
      <c r="AE76" s="15"/>
      <c r="AF76" s="6"/>
      <c r="AG76" s="5"/>
      <c r="AH76" s="5"/>
      <c r="AI76" s="5"/>
      <c r="AJ76" s="6"/>
      <c r="AK76" s="15"/>
      <c r="AL76" s="6"/>
      <c r="AM76" s="5"/>
      <c r="AN76" s="5"/>
      <c r="AO76" s="5"/>
      <c r="AP76" s="6"/>
      <c r="AQ76" s="15"/>
      <c r="AR76" s="6"/>
      <c r="AS76" s="5"/>
      <c r="AT76" s="5"/>
      <c r="AU76" s="5"/>
      <c r="AV76" s="6"/>
      <c r="AW76" s="15"/>
      <c r="AX76" s="6"/>
      <c r="AY76" s="5"/>
      <c r="AZ76" s="5"/>
      <c r="BA76" s="5"/>
      <c r="BB76" s="6"/>
      <c r="BC76" s="15"/>
      <c r="BD76" s="6"/>
      <c r="BE76" s="5"/>
      <c r="BF76" s="5"/>
      <c r="BG76" s="5"/>
      <c r="BH76" s="6"/>
      <c r="BI76" s="15"/>
      <c r="BJ76" s="6"/>
      <c r="BK76" s="5"/>
      <c r="BL76" s="5"/>
      <c r="BM76" s="5"/>
      <c r="BN76" s="6"/>
      <c r="BO76" s="15"/>
      <c r="BP76" s="6"/>
      <c r="BQ76" s="5"/>
      <c r="BR76" s="5"/>
      <c r="BS76" s="5"/>
      <c r="BT76" s="6"/>
      <c r="BU76" s="15"/>
      <c r="BV76" s="6"/>
      <c r="BW76" s="5"/>
      <c r="BX76" s="5"/>
      <c r="BY76" s="5"/>
      <c r="BZ76" s="6"/>
      <c r="CA76" s="15"/>
      <c r="CB76" s="6"/>
      <c r="CC76" s="5"/>
      <c r="CD76" s="5"/>
      <c r="CE76" s="5"/>
      <c r="CF76" s="6"/>
      <c r="CG76" s="15"/>
      <c r="CH76" s="6"/>
      <c r="CI76" s="5"/>
      <c r="CJ76" s="5"/>
      <c r="CK76" s="5"/>
      <c r="CL76" s="6"/>
      <c r="CM76" s="15"/>
      <c r="CN76" s="6"/>
      <c r="CO76" s="5"/>
      <c r="CP76" s="5"/>
      <c r="CQ76" s="5"/>
      <c r="CR76" s="6"/>
      <c r="CS76" s="15"/>
      <c r="CT76" s="6"/>
      <c r="CU76" s="5"/>
      <c r="CV76" s="5"/>
      <c r="CW76" s="5"/>
      <c r="CX76" s="6"/>
      <c r="CY76" s="15"/>
      <c r="CZ76" s="6"/>
      <c r="DA76" s="5"/>
      <c r="DB76" s="5"/>
      <c r="DC76" s="5"/>
      <c r="DD76" s="6"/>
      <c r="DE76" s="15"/>
      <c r="DF76" s="6"/>
      <c r="DG76" s="5"/>
      <c r="DH76" s="5"/>
      <c r="DI76" s="5"/>
      <c r="DJ76" s="6"/>
      <c r="DK76" s="15"/>
      <c r="DL76" s="6"/>
      <c r="DM76" s="5"/>
      <c r="DN76" s="5"/>
      <c r="DO76" s="5"/>
      <c r="DP76" s="6"/>
      <c r="DQ76" s="15"/>
      <c r="DR76" s="6"/>
      <c r="DS76" s="5"/>
      <c r="DT76" s="5"/>
      <c r="DU76" s="5"/>
      <c r="DV76" s="6"/>
      <c r="DW76" s="15"/>
      <c r="DX76" s="6"/>
      <c r="DY76" s="5"/>
      <c r="DZ76" s="5"/>
      <c r="EA76" s="5"/>
      <c r="EB76" s="6"/>
      <c r="EC76" s="15"/>
      <c r="ED76" s="6"/>
      <c r="EE76" s="5"/>
      <c r="EF76" s="5"/>
      <c r="EG76" s="5"/>
      <c r="EH76" s="6"/>
      <c r="EI76" s="15"/>
      <c r="EJ76" s="6"/>
      <c r="EK76" s="5"/>
      <c r="EL76" s="5"/>
      <c r="EM76" s="5"/>
      <c r="EN76" s="6"/>
      <c r="EO76" s="15"/>
      <c r="EP76" s="6"/>
      <c r="EQ76" s="5"/>
      <c r="ER76" s="5"/>
      <c r="ES76" s="5"/>
      <c r="ET76" s="6"/>
      <c r="EU76" s="15"/>
      <c r="EV76" s="6"/>
      <c r="EW76" s="5"/>
      <c r="EX76" s="5"/>
      <c r="EY76" s="5"/>
      <c r="EZ76" s="6"/>
      <c r="FA76" s="15"/>
      <c r="FB76" s="6"/>
      <c r="FC76" s="5"/>
      <c r="FD76" s="5"/>
      <c r="FE76" s="5"/>
      <c r="FF76" s="6"/>
      <c r="FG76" s="15"/>
      <c r="FH76" s="6"/>
      <c r="FI76" s="5"/>
      <c r="FJ76" s="5"/>
      <c r="FK76" s="5"/>
      <c r="FL76" s="6"/>
      <c r="FM76" s="15"/>
      <c r="FN76" s="6"/>
      <c r="FO76" s="5"/>
      <c r="FP76" s="5"/>
      <c r="FQ76" s="5"/>
      <c r="FR76" s="6"/>
      <c r="FS76" s="15"/>
      <c r="FT76" s="6"/>
      <c r="FU76" s="5"/>
      <c r="FV76" s="5"/>
    </row>
    <row r="77" spans="1:178" s="6" customFormat="1" ht="19.5" hidden="1" customHeight="1" outlineLevel="1" x14ac:dyDescent="0.2">
      <c r="A77" s="26"/>
      <c r="B77" s="22">
        <v>66</v>
      </c>
      <c r="C77" s="27" t="s">
        <v>91</v>
      </c>
      <c r="D77" s="27" t="s">
        <v>31</v>
      </c>
      <c r="E77" s="31" t="s">
        <v>2401</v>
      </c>
      <c r="F77" s="31" t="s">
        <v>1159</v>
      </c>
      <c r="G77" s="42"/>
      <c r="H77" s="25" t="s">
        <v>2258</v>
      </c>
    </row>
    <row r="78" spans="1:178" s="6" customFormat="1" ht="19.5" hidden="1" customHeight="1" outlineLevel="1" x14ac:dyDescent="0.2">
      <c r="A78" s="26"/>
      <c r="B78" s="22">
        <v>67</v>
      </c>
      <c r="C78" s="27" t="s">
        <v>92</v>
      </c>
      <c r="D78" s="27" t="s">
        <v>99</v>
      </c>
      <c r="E78" s="31" t="s">
        <v>849</v>
      </c>
      <c r="F78" s="31" t="s">
        <v>1160</v>
      </c>
      <c r="G78" s="42"/>
      <c r="H78" s="25" t="s">
        <v>2259</v>
      </c>
    </row>
    <row r="79" spans="1:178" s="6" customFormat="1" ht="19.5" hidden="1" customHeight="1" outlineLevel="1" x14ac:dyDescent="0.2">
      <c r="A79" s="26" t="s">
        <v>683</v>
      </c>
      <c r="B79" s="22">
        <v>68</v>
      </c>
      <c r="C79" s="27" t="s">
        <v>114</v>
      </c>
      <c r="D79" s="27" t="s">
        <v>694</v>
      </c>
      <c r="E79" s="31" t="s">
        <v>2402</v>
      </c>
      <c r="F79" s="31" t="s">
        <v>1161</v>
      </c>
      <c r="G79" s="42"/>
      <c r="H79" s="25" t="s">
        <v>2260</v>
      </c>
    </row>
    <row r="80" spans="1:178" s="6" customFormat="1" ht="19.5" hidden="1" customHeight="1" outlineLevel="1" x14ac:dyDescent="0.2">
      <c r="A80" s="26" t="s">
        <v>683</v>
      </c>
      <c r="B80" s="22">
        <v>69</v>
      </c>
      <c r="C80" s="27" t="s">
        <v>115</v>
      </c>
      <c r="D80" s="27" t="s">
        <v>695</v>
      </c>
      <c r="E80" s="31" t="s">
        <v>2403</v>
      </c>
      <c r="F80" s="31" t="s">
        <v>1162</v>
      </c>
      <c r="G80" s="42"/>
      <c r="H80" s="25" t="s">
        <v>2261</v>
      </c>
    </row>
    <row r="81" spans="1:178" s="6" customFormat="1" ht="19.5" hidden="1" customHeight="1" outlineLevel="1" x14ac:dyDescent="0.2">
      <c r="A81" s="26" t="s">
        <v>683</v>
      </c>
      <c r="B81" s="22">
        <v>70</v>
      </c>
      <c r="C81" s="31" t="s">
        <v>225</v>
      </c>
      <c r="D81" s="31" t="s">
        <v>696</v>
      </c>
      <c r="E81" s="31" t="s">
        <v>2404</v>
      </c>
      <c r="F81" s="31" t="s">
        <v>1163</v>
      </c>
      <c r="G81" s="28"/>
      <c r="H81" s="25" t="s">
        <v>2262</v>
      </c>
    </row>
    <row r="82" spans="1:178" s="6" customFormat="1" ht="19.5" hidden="1" customHeight="1" outlineLevel="1" x14ac:dyDescent="0.2">
      <c r="A82" s="26"/>
      <c r="B82" s="22">
        <v>71</v>
      </c>
      <c r="C82" s="27" t="s">
        <v>93</v>
      </c>
      <c r="D82" s="27" t="s">
        <v>100</v>
      </c>
      <c r="E82" s="31" t="s">
        <v>2405</v>
      </c>
      <c r="F82" s="31" t="s">
        <v>1164</v>
      </c>
      <c r="G82" s="42"/>
      <c r="H82" s="25" t="s">
        <v>2263</v>
      </c>
    </row>
    <row r="83" spans="1:178" s="6" customFormat="1" ht="19.5" hidden="1" customHeight="1" outlineLevel="1" x14ac:dyDescent="0.2">
      <c r="A83" s="26"/>
      <c r="B83" s="22">
        <v>72</v>
      </c>
      <c r="C83" s="27" t="s">
        <v>90</v>
      </c>
      <c r="D83" s="27" t="s">
        <v>262</v>
      </c>
      <c r="E83" s="31" t="s">
        <v>2406</v>
      </c>
      <c r="F83" s="31" t="s">
        <v>1165</v>
      </c>
      <c r="G83" s="42"/>
      <c r="H83" s="25" t="s">
        <v>2264</v>
      </c>
    </row>
    <row r="84" spans="1:178" s="6" customFormat="1" ht="19.5" hidden="1" customHeight="1" outlineLevel="1" x14ac:dyDescent="0.2">
      <c r="A84" s="26"/>
      <c r="B84" s="22">
        <v>73</v>
      </c>
      <c r="C84" s="27" t="s">
        <v>2407</v>
      </c>
      <c r="D84" s="27" t="s">
        <v>361</v>
      </c>
      <c r="E84" s="31" t="s">
        <v>850</v>
      </c>
      <c r="F84" s="31" t="s">
        <v>1166</v>
      </c>
      <c r="G84" s="42"/>
      <c r="H84" s="25" t="s">
        <v>2265</v>
      </c>
    </row>
    <row r="85" spans="1:178" s="6" customFormat="1" ht="19.5" hidden="1" customHeight="1" outlineLevel="1" x14ac:dyDescent="0.2">
      <c r="A85" s="26" t="s">
        <v>602</v>
      </c>
      <c r="B85" s="22">
        <v>74</v>
      </c>
      <c r="C85" s="27" t="s">
        <v>784</v>
      </c>
      <c r="D85" s="27" t="s">
        <v>783</v>
      </c>
      <c r="E85" s="31" t="s">
        <v>851</v>
      </c>
      <c r="F85" s="31" t="s">
        <v>1167</v>
      </c>
      <c r="G85" s="39"/>
      <c r="H85" s="25" t="s">
        <v>2266</v>
      </c>
    </row>
    <row r="86" spans="1:178" s="6" customFormat="1" ht="19.5" hidden="1" customHeight="1" outlineLevel="1" x14ac:dyDescent="0.2">
      <c r="A86" s="26" t="s">
        <v>602</v>
      </c>
      <c r="B86" s="22">
        <v>75</v>
      </c>
      <c r="C86" s="38" t="s">
        <v>2408</v>
      </c>
      <c r="D86" s="38" t="s">
        <v>2409</v>
      </c>
      <c r="E86" s="31" t="s">
        <v>852</v>
      </c>
      <c r="F86" s="31" t="s">
        <v>1168</v>
      </c>
      <c r="G86" s="39"/>
      <c r="H86" s="25" t="s">
        <v>2267</v>
      </c>
    </row>
    <row r="87" spans="1:178" s="6" customFormat="1" ht="19.5" hidden="1" customHeight="1" outlineLevel="1" x14ac:dyDescent="0.2">
      <c r="A87" s="26" t="s">
        <v>602</v>
      </c>
      <c r="B87" s="22">
        <v>76</v>
      </c>
      <c r="C87" s="38" t="s">
        <v>2410</v>
      </c>
      <c r="D87" s="38" t="s">
        <v>2411</v>
      </c>
      <c r="E87" s="31" t="s">
        <v>853</v>
      </c>
      <c r="F87" s="31" t="s">
        <v>1169</v>
      </c>
      <c r="G87" s="39"/>
      <c r="H87" s="25" t="s">
        <v>2268</v>
      </c>
    </row>
    <row r="88" spans="1:178" s="6" customFormat="1" ht="57" hidden="1" customHeight="1" outlineLevel="1" x14ac:dyDescent="0.2">
      <c r="A88" s="26" t="s">
        <v>602</v>
      </c>
      <c r="B88" s="22">
        <v>77</v>
      </c>
      <c r="C88" s="39" t="s">
        <v>2412</v>
      </c>
      <c r="D88" s="39" t="s">
        <v>2413</v>
      </c>
      <c r="E88" s="40" t="s">
        <v>2414</v>
      </c>
      <c r="F88" s="27" t="s">
        <v>2415</v>
      </c>
      <c r="G88" s="39"/>
      <c r="H88" s="25" t="s">
        <v>2269</v>
      </c>
    </row>
    <row r="89" spans="1:178" s="6" customFormat="1" ht="19.5" hidden="1" customHeight="1" outlineLevel="1" x14ac:dyDescent="0.2">
      <c r="A89" s="604" t="s">
        <v>1841</v>
      </c>
      <c r="B89" s="22">
        <v>78</v>
      </c>
      <c r="C89" s="31" t="s">
        <v>2416</v>
      </c>
      <c r="D89" s="31" t="s">
        <v>2417</v>
      </c>
      <c r="E89" s="31" t="s">
        <v>2418</v>
      </c>
      <c r="F89" s="31" t="s">
        <v>2419</v>
      </c>
      <c r="G89" s="29"/>
      <c r="H89" s="25" t="s">
        <v>2270</v>
      </c>
    </row>
    <row r="90" spans="1:178" s="6" customFormat="1" ht="19.5" hidden="1" customHeight="1" outlineLevel="1" x14ac:dyDescent="0.2">
      <c r="A90" s="26"/>
      <c r="B90" s="22">
        <v>79</v>
      </c>
      <c r="C90" s="27" t="s">
        <v>116</v>
      </c>
      <c r="D90" s="27" t="s">
        <v>125</v>
      </c>
      <c r="E90" s="31" t="s">
        <v>854</v>
      </c>
      <c r="F90" s="31" t="s">
        <v>1170</v>
      </c>
      <c r="G90" s="42"/>
      <c r="H90" s="25" t="s">
        <v>2271</v>
      </c>
    </row>
    <row r="91" spans="1:178" s="6" customFormat="1" ht="19.5" hidden="1" customHeight="1" outlineLevel="1" x14ac:dyDescent="0.2">
      <c r="A91" s="26"/>
      <c r="B91" s="22">
        <v>80</v>
      </c>
      <c r="C91" s="27" t="s">
        <v>117</v>
      </c>
      <c r="D91" s="27" t="s">
        <v>267</v>
      </c>
      <c r="E91" s="31" t="s">
        <v>2420</v>
      </c>
      <c r="F91" s="31" t="s">
        <v>1171</v>
      </c>
      <c r="G91" s="42"/>
      <c r="H91" s="25" t="s">
        <v>2272</v>
      </c>
    </row>
    <row r="92" spans="1:178" ht="19.5" hidden="1" customHeight="1" outlineLevel="1" x14ac:dyDescent="0.2">
      <c r="A92" s="26"/>
      <c r="B92" s="22">
        <v>81</v>
      </c>
      <c r="C92" s="31" t="s">
        <v>134</v>
      </c>
      <c r="D92" s="31" t="s">
        <v>426</v>
      </c>
      <c r="E92" s="31" t="s">
        <v>2421</v>
      </c>
      <c r="F92" s="31" t="s">
        <v>1172</v>
      </c>
      <c r="G92" s="29"/>
      <c r="H92" s="25" t="s">
        <v>2273</v>
      </c>
      <c r="I92" s="5"/>
      <c r="J92" s="5"/>
      <c r="K92" s="5"/>
      <c r="L92" s="6"/>
      <c r="M92" s="15"/>
      <c r="N92" s="6"/>
      <c r="O92" s="5"/>
      <c r="P92" s="5"/>
      <c r="Q92" s="5"/>
      <c r="R92" s="6"/>
      <c r="S92" s="15"/>
      <c r="T92" s="6"/>
      <c r="U92" s="5"/>
      <c r="V92" s="5"/>
      <c r="W92" s="5"/>
      <c r="X92" s="6"/>
      <c r="Y92" s="15"/>
      <c r="Z92" s="6"/>
      <c r="AA92" s="5"/>
      <c r="AB92" s="5"/>
      <c r="AC92" s="5"/>
      <c r="AD92" s="6"/>
      <c r="AE92" s="15"/>
      <c r="AF92" s="6"/>
      <c r="AG92" s="5"/>
      <c r="AH92" s="5"/>
      <c r="AI92" s="5"/>
      <c r="AJ92" s="6"/>
      <c r="AK92" s="15"/>
      <c r="AL92" s="6"/>
      <c r="AM92" s="5"/>
      <c r="AN92" s="5"/>
      <c r="AO92" s="5"/>
      <c r="AP92" s="6"/>
      <c r="AQ92" s="15"/>
      <c r="AR92" s="6"/>
      <c r="AS92" s="5"/>
      <c r="AT92" s="5"/>
      <c r="AU92" s="5"/>
      <c r="AV92" s="6"/>
      <c r="AW92" s="15"/>
      <c r="AX92" s="6"/>
      <c r="AY92" s="5"/>
      <c r="AZ92" s="5"/>
      <c r="BA92" s="5"/>
      <c r="BB92" s="6"/>
      <c r="BC92" s="15"/>
      <c r="BD92" s="6"/>
      <c r="BE92" s="5"/>
      <c r="BF92" s="5"/>
      <c r="BG92" s="5"/>
      <c r="BH92" s="6"/>
      <c r="BI92" s="15"/>
      <c r="BJ92" s="6"/>
      <c r="BK92" s="5"/>
      <c r="BL92" s="5"/>
      <c r="BM92" s="5"/>
      <c r="BN92" s="6"/>
      <c r="BO92" s="15"/>
      <c r="BP92" s="6"/>
      <c r="BQ92" s="5"/>
      <c r="BR92" s="5"/>
      <c r="BS92" s="5"/>
      <c r="BT92" s="6"/>
      <c r="BU92" s="15"/>
      <c r="BV92" s="6"/>
      <c r="BW92" s="5"/>
      <c r="BX92" s="5"/>
      <c r="BY92" s="5"/>
      <c r="BZ92" s="6"/>
      <c r="CA92" s="15"/>
      <c r="CB92" s="6"/>
      <c r="CC92" s="5"/>
      <c r="CD92" s="5"/>
      <c r="CE92" s="5"/>
      <c r="CF92" s="6"/>
      <c r="CG92" s="15"/>
      <c r="CH92" s="6"/>
      <c r="CI92" s="5"/>
      <c r="CJ92" s="5"/>
      <c r="CK92" s="5"/>
      <c r="CL92" s="6"/>
      <c r="CM92" s="15"/>
      <c r="CN92" s="6"/>
      <c r="CO92" s="5"/>
      <c r="CP92" s="5"/>
      <c r="CQ92" s="5"/>
      <c r="CR92" s="6"/>
      <c r="CS92" s="15"/>
      <c r="CT92" s="6"/>
      <c r="CU92" s="5"/>
      <c r="CV92" s="5"/>
      <c r="CW92" s="5"/>
      <c r="CX92" s="6"/>
      <c r="CY92" s="15"/>
      <c r="CZ92" s="6"/>
      <c r="DA92" s="5"/>
      <c r="DB92" s="5"/>
      <c r="DC92" s="5"/>
      <c r="DD92" s="6"/>
      <c r="DE92" s="15"/>
      <c r="DF92" s="6"/>
      <c r="DG92" s="5"/>
      <c r="DH92" s="5"/>
      <c r="DI92" s="5"/>
      <c r="DJ92" s="6"/>
      <c r="DK92" s="15"/>
      <c r="DL92" s="6"/>
      <c r="DM92" s="5"/>
      <c r="DN92" s="5"/>
      <c r="DO92" s="5"/>
      <c r="DP92" s="6"/>
      <c r="DQ92" s="15"/>
      <c r="DR92" s="6"/>
      <c r="DS92" s="5"/>
      <c r="DT92" s="5"/>
      <c r="DU92" s="5"/>
      <c r="DV92" s="6"/>
      <c r="DW92" s="15"/>
      <c r="DX92" s="6"/>
      <c r="DY92" s="5"/>
      <c r="DZ92" s="5"/>
      <c r="EA92" s="5"/>
      <c r="EB92" s="6"/>
      <c r="EC92" s="15"/>
      <c r="ED92" s="6"/>
      <c r="EE92" s="5"/>
      <c r="EF92" s="5"/>
      <c r="EG92" s="5"/>
      <c r="EH92" s="6"/>
      <c r="EI92" s="15"/>
      <c r="EJ92" s="6"/>
      <c r="EK92" s="5"/>
      <c r="EL92" s="5"/>
      <c r="EM92" s="5"/>
      <c r="EN92" s="6"/>
      <c r="EO92" s="15"/>
      <c r="EP92" s="6"/>
      <c r="EQ92" s="5"/>
      <c r="ER92" s="5"/>
      <c r="ES92" s="5"/>
      <c r="ET92" s="6"/>
      <c r="EU92" s="15"/>
      <c r="EV92" s="6"/>
      <c r="EW92" s="5"/>
      <c r="EX92" s="5"/>
      <c r="EY92" s="5"/>
      <c r="EZ92" s="6"/>
      <c r="FA92" s="15"/>
      <c r="FB92" s="6"/>
      <c r="FC92" s="5"/>
      <c r="FD92" s="5"/>
      <c r="FE92" s="5"/>
      <c r="FF92" s="6"/>
      <c r="FG92" s="15"/>
      <c r="FH92" s="6"/>
      <c r="FI92" s="5"/>
      <c r="FJ92" s="5"/>
      <c r="FK92" s="5"/>
      <c r="FL92" s="6"/>
      <c r="FM92" s="15"/>
      <c r="FN92" s="6"/>
      <c r="FO92" s="5"/>
      <c r="FP92" s="5"/>
      <c r="FQ92" s="5"/>
      <c r="FR92" s="6"/>
      <c r="FS92" s="15"/>
      <c r="FT92" s="6"/>
      <c r="FU92" s="5"/>
      <c r="FV92" s="5"/>
    </row>
    <row r="93" spans="1:178" s="6" customFormat="1" ht="19.5" hidden="1" customHeight="1" outlineLevel="1" x14ac:dyDescent="0.2">
      <c r="A93" s="26" t="s">
        <v>602</v>
      </c>
      <c r="B93" s="22">
        <v>82</v>
      </c>
      <c r="C93" s="31" t="s">
        <v>620</v>
      </c>
      <c r="D93" s="31" t="s">
        <v>621</v>
      </c>
      <c r="E93" s="31" t="s">
        <v>2422</v>
      </c>
      <c r="F93" s="31" t="s">
        <v>1173</v>
      </c>
      <c r="G93" s="29"/>
      <c r="H93" s="25" t="s">
        <v>2274</v>
      </c>
    </row>
    <row r="94" spans="1:178" s="6" customFormat="1" ht="19.5" hidden="1" customHeight="1" outlineLevel="1" x14ac:dyDescent="0.2">
      <c r="A94" s="26" t="s">
        <v>602</v>
      </c>
      <c r="B94" s="22">
        <v>83</v>
      </c>
      <c r="C94" s="31" t="s">
        <v>618</v>
      </c>
      <c r="D94" s="31" t="s">
        <v>619</v>
      </c>
      <c r="E94" s="31" t="s">
        <v>2423</v>
      </c>
      <c r="F94" s="31" t="s">
        <v>1174</v>
      </c>
      <c r="G94" s="29"/>
      <c r="H94" s="25" t="s">
        <v>2275</v>
      </c>
    </row>
    <row r="95" spans="1:178" s="6" customFormat="1" ht="19.5" hidden="1" customHeight="1" outlineLevel="1" x14ac:dyDescent="0.2">
      <c r="A95" s="26"/>
      <c r="B95" s="22">
        <v>84</v>
      </c>
      <c r="C95" s="31" t="s">
        <v>117</v>
      </c>
      <c r="D95" s="27" t="s">
        <v>267</v>
      </c>
      <c r="E95" s="31" t="s">
        <v>2420</v>
      </c>
      <c r="F95" s="31" t="s">
        <v>1171</v>
      </c>
      <c r="G95" s="42"/>
      <c r="H95" s="25" t="s">
        <v>2276</v>
      </c>
    </row>
    <row r="96" spans="1:178" s="6" customFormat="1" ht="19.5" hidden="1" customHeight="1" outlineLevel="1" x14ac:dyDescent="0.2">
      <c r="A96" s="26"/>
      <c r="B96" s="22">
        <v>85</v>
      </c>
      <c r="C96" s="27" t="s">
        <v>118</v>
      </c>
      <c r="D96" s="27" t="s">
        <v>697</v>
      </c>
      <c r="E96" s="31" t="s">
        <v>2424</v>
      </c>
      <c r="F96" s="31" t="s">
        <v>1175</v>
      </c>
      <c r="G96" s="42"/>
      <c r="H96" s="25" t="s">
        <v>2277</v>
      </c>
    </row>
    <row r="97" spans="1:178" s="6" customFormat="1" ht="19.5" hidden="1" customHeight="1" outlineLevel="1" x14ac:dyDescent="0.2">
      <c r="A97" s="26" t="s">
        <v>683</v>
      </c>
      <c r="B97" s="22">
        <v>86</v>
      </c>
      <c r="C97" s="27" t="s">
        <v>119</v>
      </c>
      <c r="D97" s="27" t="s">
        <v>698</v>
      </c>
      <c r="E97" s="31" t="s">
        <v>2425</v>
      </c>
      <c r="F97" s="31" t="s">
        <v>1176</v>
      </c>
      <c r="G97" s="42"/>
      <c r="H97" s="25" t="s">
        <v>2278</v>
      </c>
    </row>
    <row r="98" spans="1:178" s="6" customFormat="1" ht="19.5" hidden="1" customHeight="1" outlineLevel="1" x14ac:dyDescent="0.2">
      <c r="A98" s="26"/>
      <c r="B98" s="22">
        <v>87</v>
      </c>
      <c r="C98" s="27" t="s">
        <v>120</v>
      </c>
      <c r="D98" s="27" t="s">
        <v>126</v>
      </c>
      <c r="E98" s="31" t="s">
        <v>855</v>
      </c>
      <c r="F98" s="31" t="s">
        <v>1177</v>
      </c>
      <c r="G98" s="42"/>
      <c r="H98" s="25" t="s">
        <v>2279</v>
      </c>
    </row>
    <row r="99" spans="1:178" s="6" customFormat="1" ht="19.5" hidden="1" customHeight="1" outlineLevel="1" x14ac:dyDescent="0.2">
      <c r="A99" s="26" t="s">
        <v>683</v>
      </c>
      <c r="B99" s="22">
        <v>88</v>
      </c>
      <c r="C99" s="27" t="s">
        <v>121</v>
      </c>
      <c r="D99" s="27" t="s">
        <v>699</v>
      </c>
      <c r="E99" s="31" t="s">
        <v>2426</v>
      </c>
      <c r="F99" s="31" t="s">
        <v>1178</v>
      </c>
      <c r="G99" s="42"/>
      <c r="H99" s="25" t="s">
        <v>2280</v>
      </c>
    </row>
    <row r="100" spans="1:178" s="6" customFormat="1" ht="19.5" hidden="1" customHeight="1" outlineLevel="1" x14ac:dyDescent="0.2">
      <c r="A100" s="26" t="s">
        <v>683</v>
      </c>
      <c r="B100" s="22">
        <v>89</v>
      </c>
      <c r="C100" s="27" t="s">
        <v>122</v>
      </c>
      <c r="D100" s="27" t="s">
        <v>700</v>
      </c>
      <c r="E100" s="31" t="s">
        <v>2427</v>
      </c>
      <c r="F100" s="31" t="s">
        <v>1179</v>
      </c>
      <c r="G100" s="42"/>
      <c r="H100" s="25" t="s">
        <v>2281</v>
      </c>
    </row>
    <row r="101" spans="1:178" s="6" customFormat="1" ht="19.5" hidden="1" customHeight="1" outlineLevel="1" x14ac:dyDescent="0.2">
      <c r="A101" s="604" t="s">
        <v>1841</v>
      </c>
      <c r="B101" s="22">
        <v>90</v>
      </c>
      <c r="C101" s="38" t="s">
        <v>197</v>
      </c>
      <c r="D101" s="38" t="s">
        <v>257</v>
      </c>
      <c r="E101" s="28" t="s">
        <v>2428</v>
      </c>
      <c r="F101" s="28" t="s">
        <v>2429</v>
      </c>
      <c r="G101" s="39"/>
      <c r="H101" s="25" t="s">
        <v>2282</v>
      </c>
    </row>
    <row r="102" spans="1:178" s="6" customFormat="1" ht="19.5" customHeight="1" outlineLevel="1" x14ac:dyDescent="0.2">
      <c r="A102" s="759" t="s">
        <v>2863</v>
      </c>
      <c r="B102" s="22">
        <v>91</v>
      </c>
      <c r="C102" s="27" t="s">
        <v>2874</v>
      </c>
      <c r="D102" s="31" t="s">
        <v>2875</v>
      </c>
      <c r="E102" s="31" t="s">
        <v>2887</v>
      </c>
      <c r="F102" s="31" t="s">
        <v>2896</v>
      </c>
      <c r="G102" s="42"/>
      <c r="H102" s="25" t="s">
        <v>2283</v>
      </c>
    </row>
    <row r="103" spans="1:178" s="6" customFormat="1" ht="19.5" hidden="1" customHeight="1" outlineLevel="1" x14ac:dyDescent="0.2">
      <c r="A103" s="604" t="s">
        <v>1841</v>
      </c>
      <c r="B103" s="22">
        <v>92</v>
      </c>
      <c r="C103" s="38" t="s">
        <v>2430</v>
      </c>
      <c r="D103" s="38" t="s">
        <v>2431</v>
      </c>
      <c r="E103" s="31" t="s">
        <v>2432</v>
      </c>
      <c r="F103" s="31" t="s">
        <v>2433</v>
      </c>
      <c r="G103" s="42"/>
      <c r="H103" s="25" t="s">
        <v>2284</v>
      </c>
    </row>
    <row r="104" spans="1:178" s="6" customFormat="1" ht="19.5" hidden="1" customHeight="1" outlineLevel="1" x14ac:dyDescent="0.2">
      <c r="A104" s="26"/>
      <c r="B104" s="22">
        <v>93</v>
      </c>
      <c r="C104" s="31" t="s">
        <v>248</v>
      </c>
      <c r="D104" s="31" t="s">
        <v>135</v>
      </c>
      <c r="E104" s="31" t="s">
        <v>2434</v>
      </c>
      <c r="F104" s="31" t="s">
        <v>1180</v>
      </c>
      <c r="G104" s="45"/>
      <c r="H104" s="25" t="s">
        <v>2285</v>
      </c>
    </row>
    <row r="105" spans="1:178" s="6" customFormat="1" ht="19.5" hidden="1" customHeight="1" outlineLevel="1" x14ac:dyDescent="0.2">
      <c r="A105" s="26" t="s">
        <v>683</v>
      </c>
      <c r="B105" s="22">
        <v>94</v>
      </c>
      <c r="C105" s="27" t="s">
        <v>124</v>
      </c>
      <c r="D105" s="31" t="s">
        <v>701</v>
      </c>
      <c r="E105" s="31" t="s">
        <v>2435</v>
      </c>
      <c r="F105" s="31" t="s">
        <v>1181</v>
      </c>
      <c r="G105" s="42"/>
      <c r="H105" s="25" t="s">
        <v>2286</v>
      </c>
    </row>
    <row r="106" spans="1:178" s="6" customFormat="1" ht="19.5" hidden="1" customHeight="1" outlineLevel="1" x14ac:dyDescent="0.2">
      <c r="A106" s="26" t="s">
        <v>683</v>
      </c>
      <c r="B106" s="22">
        <v>95</v>
      </c>
      <c r="C106" s="27" t="s">
        <v>123</v>
      </c>
      <c r="D106" s="31" t="s">
        <v>2436</v>
      </c>
      <c r="E106" s="31" t="s">
        <v>856</v>
      </c>
      <c r="F106" s="31" t="s">
        <v>1182</v>
      </c>
      <c r="G106" s="42"/>
      <c r="H106" s="25" t="s">
        <v>2287</v>
      </c>
    </row>
    <row r="107" spans="1:178" s="6" customFormat="1" ht="19.5" hidden="1" customHeight="1" outlineLevel="1" x14ac:dyDescent="0.2">
      <c r="A107" s="26"/>
      <c r="B107" s="22">
        <v>96</v>
      </c>
      <c r="C107" s="46" t="s">
        <v>2696</v>
      </c>
      <c r="D107" s="31" t="s">
        <v>2697</v>
      </c>
      <c r="E107" s="31" t="s">
        <v>2437</v>
      </c>
      <c r="F107" s="31" t="s">
        <v>1183</v>
      </c>
      <c r="G107" s="31"/>
      <c r="H107" s="25" t="s">
        <v>2288</v>
      </c>
    </row>
    <row r="108" spans="1:178" s="6" customFormat="1" ht="19.5" hidden="1" customHeight="1" outlineLevel="1" x14ac:dyDescent="0.2">
      <c r="A108" s="26"/>
      <c r="B108" s="22">
        <v>97</v>
      </c>
      <c r="C108" s="31" t="s">
        <v>20</v>
      </c>
      <c r="D108" s="31" t="s">
        <v>273</v>
      </c>
      <c r="E108" s="31" t="s">
        <v>2438</v>
      </c>
      <c r="F108" s="31" t="s">
        <v>1184</v>
      </c>
      <c r="G108" s="29"/>
      <c r="H108" s="25" t="s">
        <v>2289</v>
      </c>
    </row>
    <row r="109" spans="1:178" ht="19.5" hidden="1" customHeight="1" outlineLevel="1" x14ac:dyDescent="0.2">
      <c r="A109" s="26"/>
      <c r="B109" s="22">
        <v>98</v>
      </c>
      <c r="C109" s="41" t="s">
        <v>574</v>
      </c>
      <c r="D109" s="41" t="s">
        <v>2439</v>
      </c>
      <c r="E109" s="31" t="s">
        <v>2440</v>
      </c>
      <c r="F109" s="31" t="s">
        <v>2441</v>
      </c>
      <c r="G109" s="29"/>
      <c r="H109" s="25" t="s">
        <v>2290</v>
      </c>
      <c r="I109" s="5"/>
      <c r="J109" s="5"/>
      <c r="K109" s="5"/>
      <c r="L109" s="6"/>
      <c r="M109" s="15"/>
      <c r="N109" s="6"/>
      <c r="O109" s="5"/>
      <c r="P109" s="5"/>
      <c r="Q109" s="5"/>
      <c r="R109" s="6"/>
      <c r="S109" s="15"/>
      <c r="T109" s="6"/>
      <c r="U109" s="5"/>
      <c r="V109" s="5"/>
      <c r="W109" s="5"/>
      <c r="X109" s="6"/>
      <c r="Y109" s="15"/>
      <c r="Z109" s="6"/>
      <c r="AA109" s="5"/>
      <c r="AB109" s="5"/>
      <c r="AC109" s="5"/>
      <c r="AD109" s="6"/>
      <c r="AE109" s="15"/>
      <c r="AF109" s="6"/>
      <c r="AG109" s="5"/>
      <c r="AH109" s="5"/>
      <c r="AI109" s="5"/>
      <c r="AJ109" s="6"/>
      <c r="AK109" s="15"/>
      <c r="AL109" s="6"/>
      <c r="AM109" s="5"/>
      <c r="AN109" s="5"/>
      <c r="AO109" s="5"/>
      <c r="AP109" s="6"/>
      <c r="AQ109" s="15"/>
      <c r="AR109" s="6"/>
      <c r="AS109" s="5"/>
      <c r="AT109" s="5"/>
      <c r="AU109" s="5"/>
      <c r="AV109" s="6"/>
      <c r="AW109" s="15"/>
      <c r="AX109" s="6"/>
      <c r="AY109" s="5"/>
      <c r="AZ109" s="5"/>
      <c r="BA109" s="5"/>
      <c r="BB109" s="6"/>
      <c r="BC109" s="15"/>
      <c r="BD109" s="6"/>
      <c r="BE109" s="5"/>
      <c r="BF109" s="5"/>
      <c r="BG109" s="5"/>
      <c r="BH109" s="6"/>
      <c r="BI109" s="15"/>
      <c r="BJ109" s="6"/>
      <c r="BK109" s="5"/>
      <c r="BL109" s="5"/>
      <c r="BM109" s="5"/>
      <c r="BN109" s="6"/>
      <c r="BO109" s="15"/>
      <c r="BP109" s="6"/>
      <c r="BQ109" s="5"/>
      <c r="BR109" s="5"/>
      <c r="BS109" s="5"/>
      <c r="BT109" s="6"/>
      <c r="BU109" s="15"/>
      <c r="BV109" s="6"/>
      <c r="BW109" s="5"/>
      <c r="BX109" s="5"/>
      <c r="BY109" s="5"/>
      <c r="BZ109" s="6"/>
      <c r="CA109" s="15"/>
      <c r="CB109" s="6"/>
      <c r="CC109" s="5"/>
      <c r="CD109" s="5"/>
      <c r="CE109" s="5"/>
      <c r="CF109" s="6"/>
      <c r="CG109" s="15"/>
      <c r="CH109" s="6"/>
      <c r="CI109" s="5"/>
      <c r="CJ109" s="5"/>
      <c r="CK109" s="5"/>
      <c r="CL109" s="6"/>
      <c r="CM109" s="15"/>
      <c r="CN109" s="6"/>
      <c r="CO109" s="5"/>
      <c r="CP109" s="5"/>
      <c r="CQ109" s="5"/>
      <c r="CR109" s="6"/>
      <c r="CS109" s="15"/>
      <c r="CT109" s="6"/>
      <c r="CU109" s="5"/>
      <c r="CV109" s="5"/>
      <c r="CW109" s="5"/>
      <c r="CX109" s="6"/>
      <c r="CY109" s="15"/>
      <c r="CZ109" s="6"/>
      <c r="DA109" s="5"/>
      <c r="DB109" s="5"/>
      <c r="DC109" s="5"/>
      <c r="DD109" s="6"/>
      <c r="DE109" s="15"/>
      <c r="DF109" s="6"/>
      <c r="DG109" s="5"/>
      <c r="DH109" s="5"/>
      <c r="DI109" s="5"/>
      <c r="DJ109" s="6"/>
      <c r="DK109" s="15"/>
      <c r="DL109" s="6"/>
      <c r="DM109" s="5"/>
      <c r="DN109" s="5"/>
      <c r="DO109" s="5"/>
      <c r="DP109" s="6"/>
      <c r="DQ109" s="15"/>
      <c r="DR109" s="6"/>
      <c r="DS109" s="5"/>
      <c r="DT109" s="5"/>
      <c r="DU109" s="5"/>
      <c r="DV109" s="6"/>
      <c r="DW109" s="15"/>
      <c r="DX109" s="6"/>
      <c r="DY109" s="5"/>
      <c r="DZ109" s="5"/>
      <c r="EA109" s="5"/>
      <c r="EB109" s="6"/>
      <c r="EC109" s="15"/>
      <c r="ED109" s="6"/>
      <c r="EE109" s="5"/>
      <c r="EF109" s="5"/>
      <c r="EG109" s="5"/>
      <c r="EH109" s="6"/>
      <c r="EI109" s="15"/>
      <c r="EJ109" s="6"/>
      <c r="EK109" s="5"/>
      <c r="EL109" s="5"/>
      <c r="EM109" s="5"/>
      <c r="EN109" s="6"/>
      <c r="EO109" s="15"/>
      <c r="EP109" s="6"/>
      <c r="EQ109" s="5"/>
      <c r="ER109" s="5"/>
      <c r="ES109" s="5"/>
      <c r="ET109" s="6"/>
      <c r="EU109" s="15"/>
      <c r="EV109" s="6"/>
      <c r="EW109" s="5"/>
      <c r="EX109" s="5"/>
      <c r="EY109" s="5"/>
      <c r="EZ109" s="6"/>
      <c r="FA109" s="15"/>
      <c r="FB109" s="6"/>
      <c r="FC109" s="5"/>
      <c r="FD109" s="5"/>
      <c r="FE109" s="5"/>
      <c r="FF109" s="6"/>
      <c r="FG109" s="15"/>
      <c r="FH109" s="6"/>
      <c r="FI109" s="5"/>
      <c r="FJ109" s="5"/>
      <c r="FK109" s="5"/>
      <c r="FL109" s="6"/>
      <c r="FM109" s="15"/>
      <c r="FN109" s="6"/>
      <c r="FO109" s="5"/>
      <c r="FP109" s="5"/>
      <c r="FQ109" s="5"/>
      <c r="FR109" s="6"/>
      <c r="FS109" s="15"/>
      <c r="FT109" s="6"/>
      <c r="FU109" s="5"/>
      <c r="FV109" s="5"/>
    </row>
    <row r="110" spans="1:178" s="6" customFormat="1" ht="19.5" hidden="1" customHeight="1" outlineLevel="1" x14ac:dyDescent="0.2">
      <c r="A110" s="26"/>
      <c r="B110" s="22">
        <v>99</v>
      </c>
      <c r="C110" s="41" t="s">
        <v>141</v>
      </c>
      <c r="D110" s="41" t="s">
        <v>271</v>
      </c>
      <c r="E110" s="31" t="s">
        <v>2442</v>
      </c>
      <c r="F110" s="31" t="s">
        <v>1185</v>
      </c>
      <c r="G110" s="29"/>
      <c r="H110" s="25" t="s">
        <v>2291</v>
      </c>
    </row>
    <row r="111" spans="1:178" s="6" customFormat="1" ht="19.5" hidden="1" customHeight="1" outlineLevel="1" x14ac:dyDescent="0.2">
      <c r="A111" s="26" t="s">
        <v>1705</v>
      </c>
      <c r="B111" s="22">
        <v>100</v>
      </c>
      <c r="C111" s="41" t="s">
        <v>1721</v>
      </c>
      <c r="D111" s="41" t="s">
        <v>272</v>
      </c>
      <c r="E111" s="31" t="s">
        <v>2443</v>
      </c>
      <c r="F111" s="31" t="s">
        <v>1186</v>
      </c>
      <c r="G111" s="295"/>
      <c r="H111" s="25" t="s">
        <v>2292</v>
      </c>
    </row>
    <row r="112" spans="1:178" s="6" customFormat="1" ht="19.5" hidden="1" customHeight="1" outlineLevel="1" x14ac:dyDescent="0.2">
      <c r="A112" s="26"/>
      <c r="B112" s="22">
        <v>101</v>
      </c>
      <c r="C112" s="41" t="s">
        <v>453</v>
      </c>
      <c r="D112" s="41" t="s">
        <v>2444</v>
      </c>
      <c r="E112" s="31" t="s">
        <v>2445</v>
      </c>
      <c r="F112" s="31" t="s">
        <v>2446</v>
      </c>
      <c r="G112" s="29"/>
      <c r="H112" s="25" t="s">
        <v>2293</v>
      </c>
    </row>
    <row r="113" spans="1:178" s="6" customFormat="1" ht="19.5" hidden="1" customHeight="1" outlineLevel="1" x14ac:dyDescent="0.2">
      <c r="A113" s="26"/>
      <c r="B113" s="22">
        <v>102</v>
      </c>
      <c r="C113" s="46" t="s">
        <v>462</v>
      </c>
      <c r="D113" s="31" t="s">
        <v>463</v>
      </c>
      <c r="E113" s="31" t="s">
        <v>857</v>
      </c>
      <c r="F113" s="31" t="s">
        <v>1187</v>
      </c>
      <c r="G113" s="31"/>
      <c r="H113" s="25" t="s">
        <v>2294</v>
      </c>
    </row>
    <row r="114" spans="1:178" s="6" customFormat="1" ht="19.5" hidden="1" customHeight="1" outlineLevel="1" x14ac:dyDescent="0.2">
      <c r="A114" s="26"/>
      <c r="B114" s="22">
        <v>103</v>
      </c>
      <c r="C114" s="41" t="s">
        <v>575</v>
      </c>
      <c r="D114" s="41" t="s">
        <v>2447</v>
      </c>
      <c r="E114" s="28" t="s">
        <v>2448</v>
      </c>
      <c r="F114" s="28" t="s">
        <v>1188</v>
      </c>
      <c r="G114" s="31"/>
      <c r="H114" s="25" t="s">
        <v>2295</v>
      </c>
    </row>
    <row r="115" spans="1:178" s="6" customFormat="1" ht="19.5" hidden="1" customHeight="1" outlineLevel="1" x14ac:dyDescent="0.2">
      <c r="A115" s="26"/>
      <c r="B115" s="22">
        <v>104</v>
      </c>
      <c r="C115" s="28" t="s">
        <v>458</v>
      </c>
      <c r="D115" s="28" t="s">
        <v>459</v>
      </c>
      <c r="E115" s="31" t="s">
        <v>864</v>
      </c>
      <c r="F115" s="31" t="s">
        <v>1189</v>
      </c>
      <c r="G115" s="29"/>
      <c r="H115" s="25" t="s">
        <v>2296</v>
      </c>
    </row>
    <row r="116" spans="1:178" s="6" customFormat="1" ht="19.5" hidden="1" customHeight="1" outlineLevel="1" x14ac:dyDescent="0.2">
      <c r="A116" s="26"/>
      <c r="B116" s="22">
        <v>105</v>
      </c>
      <c r="C116" s="41" t="s">
        <v>456</v>
      </c>
      <c r="D116" s="28" t="s">
        <v>457</v>
      </c>
      <c r="E116" s="31" t="s">
        <v>865</v>
      </c>
      <c r="F116" s="31" t="s">
        <v>1190</v>
      </c>
      <c r="G116" s="33"/>
      <c r="H116" s="25" t="s">
        <v>2297</v>
      </c>
    </row>
    <row r="117" spans="1:178" ht="19.5" hidden="1" customHeight="1" outlineLevel="1" x14ac:dyDescent="0.2">
      <c r="A117" s="26"/>
      <c r="B117" s="22">
        <v>106</v>
      </c>
      <c r="C117" s="41" t="s">
        <v>454</v>
      </c>
      <c r="D117" s="31" t="s">
        <v>455</v>
      </c>
      <c r="E117" s="31" t="s">
        <v>858</v>
      </c>
      <c r="F117" s="31" t="s">
        <v>1191</v>
      </c>
      <c r="G117" s="31"/>
      <c r="H117" s="25" t="s">
        <v>2298</v>
      </c>
      <c r="I117" s="5"/>
      <c r="J117" s="5"/>
      <c r="K117" s="5"/>
      <c r="L117" s="6"/>
      <c r="M117" s="15"/>
      <c r="N117" s="6"/>
      <c r="O117" s="5"/>
      <c r="P117" s="5"/>
      <c r="Q117" s="5"/>
      <c r="R117" s="6"/>
      <c r="S117" s="15"/>
      <c r="T117" s="6"/>
      <c r="U117" s="5"/>
      <c r="V117" s="5"/>
      <c r="W117" s="5"/>
      <c r="X117" s="6"/>
      <c r="Y117" s="15"/>
      <c r="Z117" s="6"/>
      <c r="AA117" s="5"/>
      <c r="AB117" s="5"/>
      <c r="AC117" s="5"/>
      <c r="AD117" s="6"/>
      <c r="AE117" s="15"/>
      <c r="AF117" s="6"/>
      <c r="AG117" s="5"/>
      <c r="AH117" s="5"/>
      <c r="AI117" s="5"/>
      <c r="AJ117" s="6"/>
      <c r="AK117" s="15"/>
      <c r="AL117" s="6"/>
      <c r="AM117" s="5"/>
      <c r="AN117" s="5"/>
      <c r="AO117" s="5"/>
      <c r="AP117" s="6"/>
      <c r="AQ117" s="15"/>
      <c r="AR117" s="6"/>
      <c r="AS117" s="5"/>
      <c r="AT117" s="5"/>
      <c r="AU117" s="5"/>
      <c r="AV117" s="6"/>
      <c r="AW117" s="15"/>
      <c r="AX117" s="6"/>
      <c r="AY117" s="5"/>
      <c r="AZ117" s="5"/>
      <c r="BA117" s="5"/>
      <c r="BB117" s="6"/>
      <c r="BC117" s="15"/>
      <c r="BD117" s="6"/>
      <c r="BE117" s="5"/>
      <c r="BF117" s="5"/>
      <c r="BG117" s="5"/>
      <c r="BH117" s="6"/>
      <c r="BI117" s="15"/>
      <c r="BJ117" s="6"/>
      <c r="BK117" s="5"/>
      <c r="BL117" s="5"/>
      <c r="BM117" s="5"/>
      <c r="BN117" s="6"/>
      <c r="BO117" s="15"/>
      <c r="BP117" s="6"/>
      <c r="BQ117" s="5"/>
      <c r="BR117" s="5"/>
      <c r="BS117" s="5"/>
      <c r="BT117" s="6"/>
      <c r="BU117" s="15"/>
      <c r="BV117" s="6"/>
      <c r="BW117" s="5"/>
      <c r="BX117" s="5"/>
      <c r="BY117" s="5"/>
      <c r="BZ117" s="6"/>
      <c r="CA117" s="15"/>
      <c r="CB117" s="6"/>
      <c r="CC117" s="5"/>
      <c r="CD117" s="5"/>
      <c r="CE117" s="5"/>
      <c r="CF117" s="6"/>
      <c r="CG117" s="15"/>
      <c r="CH117" s="6"/>
      <c r="CI117" s="5"/>
      <c r="CJ117" s="5"/>
      <c r="CK117" s="5"/>
      <c r="CL117" s="6"/>
      <c r="CM117" s="15"/>
      <c r="CN117" s="6"/>
      <c r="CO117" s="5"/>
      <c r="CP117" s="5"/>
      <c r="CQ117" s="5"/>
      <c r="CR117" s="6"/>
      <c r="CS117" s="15"/>
      <c r="CT117" s="6"/>
      <c r="CU117" s="5"/>
      <c r="CV117" s="5"/>
      <c r="CW117" s="5"/>
      <c r="CX117" s="6"/>
      <c r="CY117" s="15"/>
      <c r="CZ117" s="6"/>
      <c r="DA117" s="5"/>
      <c r="DB117" s="5"/>
      <c r="DC117" s="5"/>
      <c r="DD117" s="6"/>
      <c r="DE117" s="15"/>
      <c r="DF117" s="6"/>
      <c r="DG117" s="5"/>
      <c r="DH117" s="5"/>
      <c r="DI117" s="5"/>
      <c r="DJ117" s="6"/>
      <c r="DK117" s="15"/>
      <c r="DL117" s="6"/>
      <c r="DM117" s="5"/>
      <c r="DN117" s="5"/>
      <c r="DO117" s="5"/>
      <c r="DP117" s="6"/>
      <c r="DQ117" s="15"/>
      <c r="DR117" s="6"/>
      <c r="DS117" s="5"/>
      <c r="DT117" s="5"/>
      <c r="DU117" s="5"/>
      <c r="DV117" s="6"/>
      <c r="DW117" s="15"/>
      <c r="DX117" s="6"/>
      <c r="DY117" s="5"/>
      <c r="DZ117" s="5"/>
      <c r="EA117" s="5"/>
      <c r="EB117" s="6"/>
      <c r="EC117" s="15"/>
      <c r="ED117" s="6"/>
      <c r="EE117" s="5"/>
      <c r="EF117" s="5"/>
      <c r="EG117" s="5"/>
      <c r="EH117" s="6"/>
      <c r="EI117" s="15"/>
      <c r="EJ117" s="6"/>
      <c r="EK117" s="5"/>
      <c r="EL117" s="5"/>
      <c r="EM117" s="5"/>
      <c r="EN117" s="6"/>
      <c r="EO117" s="15"/>
      <c r="EP117" s="6"/>
      <c r="EQ117" s="5"/>
      <c r="ER117" s="5"/>
      <c r="ES117" s="5"/>
      <c r="ET117" s="6"/>
      <c r="EU117" s="15"/>
      <c r="EV117" s="6"/>
      <c r="EW117" s="5"/>
      <c r="EX117" s="5"/>
      <c r="EY117" s="5"/>
      <c r="EZ117" s="6"/>
      <c r="FA117" s="15"/>
      <c r="FB117" s="6"/>
      <c r="FC117" s="5"/>
      <c r="FD117" s="5"/>
      <c r="FE117" s="5"/>
      <c r="FF117" s="6"/>
      <c r="FG117" s="15"/>
      <c r="FH117" s="6"/>
      <c r="FI117" s="5"/>
      <c r="FJ117" s="5"/>
      <c r="FK117" s="5"/>
      <c r="FL117" s="6"/>
      <c r="FM117" s="15"/>
      <c r="FN117" s="6"/>
      <c r="FO117" s="5"/>
      <c r="FP117" s="5"/>
      <c r="FQ117" s="5"/>
      <c r="FR117" s="6"/>
      <c r="FS117" s="15"/>
      <c r="FT117" s="6"/>
      <c r="FU117" s="5"/>
      <c r="FV117" s="5"/>
    </row>
    <row r="118" spans="1:178" s="6" customFormat="1" ht="24" hidden="1" customHeight="1" outlineLevel="1" x14ac:dyDescent="0.2">
      <c r="A118" s="637" t="s">
        <v>683</v>
      </c>
      <c r="B118" s="637">
        <v>107</v>
      </c>
      <c r="C118" s="638" t="s">
        <v>598</v>
      </c>
      <c r="D118" s="638" t="s">
        <v>599</v>
      </c>
      <c r="E118" s="28" t="s">
        <v>2449</v>
      </c>
      <c r="F118" s="28" t="s">
        <v>1192</v>
      </c>
      <c r="G118" s="42"/>
      <c r="H118" s="25" t="s">
        <v>2299</v>
      </c>
    </row>
    <row r="119" spans="1:178" s="6" customFormat="1" ht="19.5" hidden="1" customHeight="1" outlineLevel="1" x14ac:dyDescent="0.2">
      <c r="A119" s="604" t="s">
        <v>1841</v>
      </c>
      <c r="B119" s="22">
        <v>108</v>
      </c>
      <c r="C119" s="31" t="s">
        <v>2450</v>
      </c>
      <c r="D119" s="31" t="s">
        <v>2451</v>
      </c>
      <c r="E119" s="31" t="s">
        <v>2452</v>
      </c>
      <c r="F119" s="31" t="s">
        <v>2453</v>
      </c>
      <c r="G119" s="29"/>
      <c r="H119" s="25" t="s">
        <v>2300</v>
      </c>
    </row>
    <row r="120" spans="1:178" s="6" customFormat="1" ht="19.5" hidden="1" customHeight="1" outlineLevel="1" x14ac:dyDescent="0.2">
      <c r="A120" s="26"/>
      <c r="B120" s="22">
        <v>109</v>
      </c>
      <c r="C120" s="47" t="s">
        <v>451</v>
      </c>
      <c r="D120" s="47" t="s">
        <v>258</v>
      </c>
      <c r="E120" s="31" t="s">
        <v>859</v>
      </c>
      <c r="F120" s="31" t="s">
        <v>1193</v>
      </c>
      <c r="G120" s="48"/>
      <c r="H120" s="25" t="s">
        <v>2301</v>
      </c>
    </row>
    <row r="121" spans="1:178" s="6" customFormat="1" ht="19.5" hidden="1" customHeight="1" outlineLevel="1" x14ac:dyDescent="0.2">
      <c r="A121" s="26"/>
      <c r="B121" s="22">
        <v>110</v>
      </c>
      <c r="C121" s="31" t="s">
        <v>316</v>
      </c>
      <c r="D121" s="31" t="s">
        <v>317</v>
      </c>
      <c r="E121" s="28" t="s">
        <v>860</v>
      </c>
      <c r="F121" s="28" t="s">
        <v>1194</v>
      </c>
      <c r="G121" s="29"/>
      <c r="H121" s="25" t="s">
        <v>2302</v>
      </c>
    </row>
    <row r="122" spans="1:178" ht="19.5" hidden="1" customHeight="1" outlineLevel="1" x14ac:dyDescent="0.2">
      <c r="A122" s="26"/>
      <c r="B122" s="22">
        <v>111</v>
      </c>
      <c r="C122" s="27" t="s">
        <v>50</v>
      </c>
      <c r="D122" s="27" t="s">
        <v>54</v>
      </c>
      <c r="E122" s="31" t="s">
        <v>861</v>
      </c>
      <c r="F122" s="31" t="s">
        <v>1195</v>
      </c>
      <c r="G122" s="42"/>
      <c r="H122" s="25" t="s">
        <v>2303</v>
      </c>
      <c r="I122" s="5"/>
      <c r="J122" s="5"/>
      <c r="K122" s="5"/>
      <c r="L122" s="6"/>
      <c r="M122" s="15"/>
      <c r="N122" s="6"/>
      <c r="O122" s="5"/>
      <c r="P122" s="5"/>
      <c r="Q122" s="5"/>
      <c r="R122" s="6"/>
      <c r="S122" s="15"/>
      <c r="T122" s="6"/>
      <c r="U122" s="5"/>
      <c r="V122" s="5"/>
      <c r="W122" s="5"/>
      <c r="X122" s="6"/>
      <c r="Y122" s="15"/>
      <c r="Z122" s="6"/>
      <c r="AA122" s="5"/>
      <c r="AB122" s="5"/>
      <c r="AC122" s="5"/>
      <c r="AD122" s="6"/>
      <c r="AE122" s="15"/>
      <c r="AF122" s="6"/>
      <c r="AG122" s="5"/>
      <c r="AH122" s="5"/>
      <c r="AI122" s="5"/>
      <c r="AJ122" s="6"/>
      <c r="AK122" s="15"/>
      <c r="AL122" s="6"/>
      <c r="AM122" s="5"/>
      <c r="AN122" s="5"/>
      <c r="AO122" s="5"/>
      <c r="AP122" s="6"/>
      <c r="AQ122" s="15"/>
      <c r="AR122" s="6"/>
      <c r="AS122" s="5"/>
      <c r="AT122" s="5"/>
      <c r="AU122" s="5"/>
      <c r="AV122" s="6"/>
      <c r="AW122" s="15"/>
      <c r="AX122" s="6"/>
      <c r="AY122" s="5"/>
      <c r="AZ122" s="5"/>
      <c r="BA122" s="5"/>
      <c r="BB122" s="6"/>
      <c r="BC122" s="15"/>
      <c r="BD122" s="6"/>
      <c r="BE122" s="5"/>
      <c r="BF122" s="5"/>
      <c r="BG122" s="5"/>
      <c r="BH122" s="6"/>
      <c r="BI122" s="15"/>
      <c r="BJ122" s="6"/>
      <c r="BK122" s="5"/>
      <c r="BL122" s="5"/>
      <c r="BM122" s="5"/>
      <c r="BN122" s="6"/>
      <c r="BO122" s="15"/>
      <c r="BP122" s="6"/>
      <c r="BQ122" s="5"/>
      <c r="BR122" s="5"/>
      <c r="BS122" s="5"/>
      <c r="BT122" s="6"/>
      <c r="BU122" s="15"/>
      <c r="BV122" s="6"/>
      <c r="BW122" s="5"/>
      <c r="BX122" s="5"/>
      <c r="BY122" s="5"/>
      <c r="BZ122" s="6"/>
      <c r="CA122" s="15"/>
      <c r="CB122" s="6"/>
      <c r="CC122" s="5"/>
      <c r="CD122" s="5"/>
      <c r="CE122" s="5"/>
      <c r="CF122" s="6"/>
      <c r="CG122" s="15"/>
      <c r="CH122" s="6"/>
      <c r="CI122" s="5"/>
      <c r="CJ122" s="5"/>
      <c r="CK122" s="5"/>
      <c r="CL122" s="6"/>
      <c r="CM122" s="15"/>
      <c r="CN122" s="6"/>
      <c r="CO122" s="5"/>
      <c r="CP122" s="5"/>
      <c r="CQ122" s="5"/>
      <c r="CR122" s="6"/>
      <c r="CS122" s="15"/>
      <c r="CT122" s="6"/>
      <c r="CU122" s="5"/>
      <c r="CV122" s="5"/>
      <c r="CW122" s="5"/>
      <c r="CX122" s="6"/>
      <c r="CY122" s="15"/>
      <c r="CZ122" s="6"/>
      <c r="DA122" s="5"/>
      <c r="DB122" s="5"/>
      <c r="DC122" s="5"/>
      <c r="DD122" s="6"/>
      <c r="DE122" s="15"/>
      <c r="DF122" s="6"/>
      <c r="DG122" s="5"/>
      <c r="DH122" s="5"/>
      <c r="DI122" s="5"/>
      <c r="DJ122" s="6"/>
      <c r="DK122" s="15"/>
      <c r="DL122" s="6"/>
      <c r="DM122" s="5"/>
      <c r="DN122" s="5"/>
      <c r="DO122" s="5"/>
      <c r="DP122" s="6"/>
      <c r="DQ122" s="15"/>
      <c r="DR122" s="6"/>
      <c r="DS122" s="5"/>
      <c r="DT122" s="5"/>
      <c r="DU122" s="5"/>
      <c r="DV122" s="6"/>
      <c r="DW122" s="15"/>
      <c r="DX122" s="6"/>
      <c r="DY122" s="5"/>
      <c r="DZ122" s="5"/>
      <c r="EA122" s="5"/>
      <c r="EB122" s="6"/>
      <c r="EC122" s="15"/>
      <c r="ED122" s="6"/>
      <c r="EE122" s="5"/>
      <c r="EF122" s="5"/>
      <c r="EG122" s="5"/>
      <c r="EH122" s="6"/>
      <c r="EI122" s="15"/>
      <c r="EJ122" s="6"/>
      <c r="EK122" s="5"/>
      <c r="EL122" s="5"/>
      <c r="EM122" s="5"/>
      <c r="EN122" s="6"/>
      <c r="EO122" s="15"/>
      <c r="EP122" s="6"/>
      <c r="EQ122" s="5"/>
      <c r="ER122" s="5"/>
      <c r="ES122" s="5"/>
      <c r="ET122" s="6"/>
      <c r="EU122" s="15"/>
      <c r="EV122" s="6"/>
      <c r="EW122" s="5"/>
      <c r="EX122" s="5"/>
      <c r="EY122" s="5"/>
      <c r="EZ122" s="6"/>
      <c r="FA122" s="15"/>
      <c r="FB122" s="6"/>
      <c r="FC122" s="5"/>
      <c r="FD122" s="5"/>
      <c r="FE122" s="5"/>
      <c r="FF122" s="6"/>
      <c r="FG122" s="15"/>
      <c r="FH122" s="6"/>
      <c r="FI122" s="5"/>
      <c r="FJ122" s="5"/>
      <c r="FK122" s="5"/>
      <c r="FL122" s="6"/>
      <c r="FM122" s="15"/>
      <c r="FN122" s="6"/>
      <c r="FO122" s="5"/>
      <c r="FP122" s="5"/>
      <c r="FQ122" s="5"/>
      <c r="FR122" s="6"/>
      <c r="FS122" s="15"/>
      <c r="FT122" s="6"/>
      <c r="FU122" s="5"/>
      <c r="FV122" s="5"/>
    </row>
    <row r="123" spans="1:178" s="6" customFormat="1" ht="19.5" hidden="1" customHeight="1" outlineLevel="1" x14ac:dyDescent="0.2">
      <c r="A123" s="26"/>
      <c r="B123" s="22">
        <v>112</v>
      </c>
      <c r="C123" s="27" t="s">
        <v>59</v>
      </c>
      <c r="D123" s="27" t="s">
        <v>60</v>
      </c>
      <c r="E123" s="31" t="s">
        <v>862</v>
      </c>
      <c r="F123" s="31" t="s">
        <v>1196</v>
      </c>
      <c r="G123" s="42"/>
      <c r="H123" s="25" t="s">
        <v>2304</v>
      </c>
    </row>
    <row r="124" spans="1:178" s="6" customFormat="1" ht="19.5" hidden="1" customHeight="1" outlineLevel="1" x14ac:dyDescent="0.2">
      <c r="A124" s="26"/>
      <c r="B124" s="22">
        <v>113</v>
      </c>
      <c r="C124" s="31" t="s">
        <v>58</v>
      </c>
      <c r="D124" s="31" t="s">
        <v>61</v>
      </c>
      <c r="E124" s="31" t="s">
        <v>863</v>
      </c>
      <c r="F124" s="31" t="s">
        <v>1197</v>
      </c>
      <c r="G124" s="28"/>
      <c r="H124" s="25" t="s">
        <v>2305</v>
      </c>
    </row>
    <row r="125" spans="1:178" s="6" customFormat="1" ht="19.5" hidden="1" customHeight="1" outlineLevel="1" x14ac:dyDescent="0.2">
      <c r="A125" s="26"/>
      <c r="B125" s="22">
        <v>114</v>
      </c>
      <c r="C125" s="27" t="s">
        <v>53</v>
      </c>
      <c r="D125" s="27" t="s">
        <v>56</v>
      </c>
      <c r="E125" s="31" t="s">
        <v>2454</v>
      </c>
      <c r="F125" s="31" t="s">
        <v>1198</v>
      </c>
      <c r="G125" s="42"/>
      <c r="H125" s="25" t="s">
        <v>2306</v>
      </c>
    </row>
    <row r="126" spans="1:178" s="6" customFormat="1" ht="19.5" hidden="1" customHeight="1" outlineLevel="1" x14ac:dyDescent="0.2">
      <c r="A126" s="26"/>
      <c r="B126" s="22">
        <v>115</v>
      </c>
      <c r="C126" s="27" t="s">
        <v>63</v>
      </c>
      <c r="D126" s="27" t="s">
        <v>57</v>
      </c>
      <c r="E126" s="31" t="s">
        <v>2455</v>
      </c>
      <c r="F126" s="31" t="s">
        <v>1199</v>
      </c>
      <c r="G126" s="45"/>
      <c r="H126" s="25" t="s">
        <v>2307</v>
      </c>
    </row>
    <row r="127" spans="1:178" s="6" customFormat="1" ht="19.5" hidden="1" customHeight="1" outlineLevel="1" x14ac:dyDescent="0.2">
      <c r="A127" s="26"/>
      <c r="B127" s="22">
        <v>116</v>
      </c>
      <c r="C127" s="31" t="s">
        <v>437</v>
      </c>
      <c r="D127" s="31" t="s">
        <v>436</v>
      </c>
      <c r="E127" s="31" t="s">
        <v>2456</v>
      </c>
      <c r="F127" s="31" t="s">
        <v>1200</v>
      </c>
      <c r="G127" s="29"/>
      <c r="H127" s="25" t="s">
        <v>2308</v>
      </c>
    </row>
    <row r="128" spans="1:178" s="6" customFormat="1" ht="19.5" hidden="1" customHeight="1" outlineLevel="1" x14ac:dyDescent="0.2">
      <c r="A128" s="26"/>
      <c r="B128" s="22">
        <v>117</v>
      </c>
      <c r="C128" s="31" t="s">
        <v>600</v>
      </c>
      <c r="D128" s="31" t="s">
        <v>601</v>
      </c>
      <c r="E128" s="31" t="s">
        <v>2457</v>
      </c>
      <c r="F128" s="31" t="s">
        <v>1201</v>
      </c>
      <c r="G128" s="28"/>
      <c r="H128" s="25" t="s">
        <v>2309</v>
      </c>
    </row>
    <row r="129" spans="1:8" s="6" customFormat="1" ht="19.5" hidden="1" customHeight="1" outlineLevel="1" x14ac:dyDescent="0.2">
      <c r="A129" s="26" t="s">
        <v>683</v>
      </c>
      <c r="B129" s="22">
        <v>118</v>
      </c>
      <c r="C129" s="41" t="s">
        <v>23</v>
      </c>
      <c r="D129" s="41" t="s">
        <v>1840</v>
      </c>
      <c r="E129" s="31" t="s">
        <v>2458</v>
      </c>
      <c r="F129" s="31" t="s">
        <v>1202</v>
      </c>
      <c r="G129" s="29"/>
      <c r="H129" s="25" t="s">
        <v>2310</v>
      </c>
    </row>
    <row r="130" spans="1:8" s="6" customFormat="1" ht="19.5" hidden="1" customHeight="1" outlineLevel="1" x14ac:dyDescent="0.2">
      <c r="A130" s="26"/>
      <c r="B130" s="22">
        <v>119</v>
      </c>
      <c r="C130" s="27" t="s">
        <v>51</v>
      </c>
      <c r="D130" s="27" t="s">
        <v>356</v>
      </c>
      <c r="E130" s="31" t="s">
        <v>2459</v>
      </c>
      <c r="F130" s="31" t="s">
        <v>1203</v>
      </c>
      <c r="G130" s="42"/>
      <c r="H130" s="25" t="s">
        <v>2311</v>
      </c>
    </row>
    <row r="131" spans="1:8" s="6" customFormat="1" ht="19.5" hidden="1" customHeight="1" outlineLevel="1" x14ac:dyDescent="0.2">
      <c r="A131" s="26"/>
      <c r="B131" s="22">
        <v>120</v>
      </c>
      <c r="C131" s="27" t="s">
        <v>71</v>
      </c>
      <c r="D131" s="27" t="s">
        <v>72</v>
      </c>
      <c r="E131" s="31" t="s">
        <v>2460</v>
      </c>
      <c r="F131" s="31" t="s">
        <v>1204</v>
      </c>
      <c r="G131" s="42"/>
      <c r="H131" s="25" t="s">
        <v>2312</v>
      </c>
    </row>
    <row r="132" spans="1:8" s="6" customFormat="1" ht="19.5" hidden="1" customHeight="1" outlineLevel="1" x14ac:dyDescent="0.2">
      <c r="A132" s="26" t="s">
        <v>602</v>
      </c>
      <c r="B132" s="22">
        <v>121</v>
      </c>
      <c r="C132" s="27" t="s">
        <v>680</v>
      </c>
      <c r="D132" s="27" t="s">
        <v>681</v>
      </c>
      <c r="E132" s="31" t="s">
        <v>2461</v>
      </c>
      <c r="F132" s="31" t="s">
        <v>1205</v>
      </c>
      <c r="G132" s="42"/>
      <c r="H132" s="25" t="s">
        <v>2313</v>
      </c>
    </row>
    <row r="133" spans="1:8" s="6" customFormat="1" ht="19.5" hidden="1" customHeight="1" outlineLevel="1" x14ac:dyDescent="0.2">
      <c r="A133" s="26" t="s">
        <v>602</v>
      </c>
      <c r="B133" s="22">
        <v>122</v>
      </c>
      <c r="C133" s="27" t="s">
        <v>2710</v>
      </c>
      <c r="D133" s="27" t="s">
        <v>2711</v>
      </c>
      <c r="E133" s="639" t="s">
        <v>2712</v>
      </c>
      <c r="F133" s="639" t="s">
        <v>2713</v>
      </c>
      <c r="G133" s="42"/>
      <c r="H133" s="25" t="s">
        <v>2314</v>
      </c>
    </row>
    <row r="134" spans="1:8" s="6" customFormat="1" ht="19.5" hidden="1" customHeight="1" outlineLevel="1" x14ac:dyDescent="0.2">
      <c r="A134" s="26" t="s">
        <v>602</v>
      </c>
      <c r="B134" s="22">
        <v>123</v>
      </c>
      <c r="C134" s="49" t="s">
        <v>818</v>
      </c>
      <c r="D134" s="27" t="s">
        <v>2462</v>
      </c>
      <c r="E134" s="28" t="s">
        <v>2463</v>
      </c>
      <c r="F134" s="28" t="s">
        <v>1206</v>
      </c>
      <c r="G134" s="42"/>
      <c r="H134" s="25" t="s">
        <v>2315</v>
      </c>
    </row>
    <row r="135" spans="1:8" s="6" customFormat="1" ht="19.5" hidden="1" customHeight="1" outlineLevel="1" x14ac:dyDescent="0.2">
      <c r="A135" s="26"/>
      <c r="B135" s="22">
        <v>124</v>
      </c>
      <c r="C135" s="38" t="s">
        <v>442</v>
      </c>
      <c r="D135" s="27" t="s">
        <v>487</v>
      </c>
      <c r="E135" s="31" t="s">
        <v>867</v>
      </c>
      <c r="F135" s="31" t="s">
        <v>1207</v>
      </c>
      <c r="G135" s="42"/>
      <c r="H135" s="25" t="s">
        <v>2316</v>
      </c>
    </row>
    <row r="136" spans="1:8" s="6" customFormat="1" ht="19.5" hidden="1" customHeight="1" outlineLevel="1" x14ac:dyDescent="0.2">
      <c r="A136" s="26"/>
      <c r="B136" s="22">
        <v>125</v>
      </c>
      <c r="C136" s="38" t="s">
        <v>12</v>
      </c>
      <c r="D136" s="38" t="s">
        <v>11</v>
      </c>
      <c r="E136" s="31" t="s">
        <v>2464</v>
      </c>
      <c r="F136" s="31" t="s">
        <v>1208</v>
      </c>
      <c r="G136" s="39"/>
      <c r="H136" s="25" t="s">
        <v>2317</v>
      </c>
    </row>
    <row r="137" spans="1:8" s="6" customFormat="1" ht="19.5" hidden="1" customHeight="1" outlineLevel="1" x14ac:dyDescent="0.2">
      <c r="A137" s="26"/>
      <c r="B137" s="22">
        <v>126</v>
      </c>
      <c r="C137" s="50" t="s">
        <v>28</v>
      </c>
      <c r="D137" s="50" t="s">
        <v>357</v>
      </c>
      <c r="E137" s="31" t="s">
        <v>868</v>
      </c>
      <c r="F137" s="31" t="s">
        <v>1209</v>
      </c>
      <c r="G137" s="51"/>
      <c r="H137" s="25" t="s">
        <v>2318</v>
      </c>
    </row>
    <row r="138" spans="1:8" s="6" customFormat="1" ht="19.5" hidden="1" customHeight="1" outlineLevel="1" x14ac:dyDescent="0.2">
      <c r="A138" s="26"/>
      <c r="B138" s="22">
        <v>127</v>
      </c>
      <c r="C138" s="27" t="s">
        <v>52</v>
      </c>
      <c r="D138" s="27" t="s">
        <v>55</v>
      </c>
      <c r="E138" s="31" t="s">
        <v>869</v>
      </c>
      <c r="F138" s="31" t="s">
        <v>1210</v>
      </c>
      <c r="G138" s="42"/>
      <c r="H138" s="25" t="s">
        <v>2319</v>
      </c>
    </row>
    <row r="139" spans="1:8" s="6" customFormat="1" ht="19.5" hidden="1" customHeight="1" outlineLevel="1" x14ac:dyDescent="0.2">
      <c r="A139" s="26" t="s">
        <v>602</v>
      </c>
      <c r="B139" s="22">
        <v>128</v>
      </c>
      <c r="C139" s="27" t="s">
        <v>771</v>
      </c>
      <c r="D139" s="27" t="s">
        <v>770</v>
      </c>
      <c r="E139" s="31" t="s">
        <v>870</v>
      </c>
      <c r="F139" s="31" t="s">
        <v>1211</v>
      </c>
      <c r="G139" s="42"/>
      <c r="H139" s="25" t="s">
        <v>2320</v>
      </c>
    </row>
    <row r="140" spans="1:8" s="6" customFormat="1" ht="19.5" hidden="1" customHeight="1" outlineLevel="1" x14ac:dyDescent="0.2">
      <c r="A140" s="671" t="s">
        <v>2725</v>
      </c>
      <c r="B140" s="22">
        <v>129</v>
      </c>
      <c r="C140" s="27" t="s">
        <v>2723</v>
      </c>
      <c r="D140" s="27" t="s">
        <v>2724</v>
      </c>
      <c r="E140" s="31" t="s">
        <v>2802</v>
      </c>
      <c r="F140" s="31" t="s">
        <v>2803</v>
      </c>
      <c r="G140" s="42"/>
      <c r="H140" s="25" t="s">
        <v>2321</v>
      </c>
    </row>
    <row r="141" spans="1:8" s="6" customFormat="1" ht="19.5" hidden="1" customHeight="1" outlineLevel="1" x14ac:dyDescent="0.2">
      <c r="A141" s="26" t="s">
        <v>1091</v>
      </c>
      <c r="B141" s="22">
        <v>130</v>
      </c>
      <c r="C141" s="27" t="s">
        <v>1092</v>
      </c>
      <c r="D141" s="27" t="s">
        <v>2465</v>
      </c>
      <c r="E141" s="31" t="s">
        <v>2466</v>
      </c>
      <c r="F141" s="31" t="s">
        <v>2467</v>
      </c>
      <c r="G141" s="42"/>
      <c r="H141" s="25" t="s">
        <v>2322</v>
      </c>
    </row>
    <row r="142" spans="1:8" s="6" customFormat="1" ht="19.5" hidden="1" customHeight="1" outlineLevel="1" x14ac:dyDescent="0.2">
      <c r="A142" s="26"/>
      <c r="B142" s="22">
        <v>131</v>
      </c>
      <c r="C142" s="31" t="s">
        <v>24</v>
      </c>
      <c r="D142" s="31" t="s">
        <v>30</v>
      </c>
      <c r="E142" s="31" t="s">
        <v>871</v>
      </c>
      <c r="F142" s="31" t="s">
        <v>1212</v>
      </c>
      <c r="G142" s="29"/>
      <c r="H142" s="25" t="s">
        <v>2323</v>
      </c>
    </row>
    <row r="143" spans="1:8" s="6" customFormat="1" ht="19.5" hidden="1" customHeight="1" outlineLevel="1" x14ac:dyDescent="0.2">
      <c r="A143" s="52"/>
      <c r="B143" s="22">
        <v>132</v>
      </c>
      <c r="C143" s="31" t="s">
        <v>26</v>
      </c>
      <c r="D143" s="31" t="s">
        <v>29</v>
      </c>
      <c r="E143" s="31" t="s">
        <v>872</v>
      </c>
      <c r="F143" s="31" t="s">
        <v>1213</v>
      </c>
      <c r="G143" s="29"/>
      <c r="H143" s="25" t="s">
        <v>2324</v>
      </c>
    </row>
    <row r="144" spans="1:8" s="6" customFormat="1" ht="19.5" hidden="1" customHeight="1" outlineLevel="1" x14ac:dyDescent="0.2">
      <c r="A144" s="52"/>
      <c r="B144" s="22">
        <v>133</v>
      </c>
      <c r="C144" s="31" t="s">
        <v>464</v>
      </c>
      <c r="D144" s="31" t="s">
        <v>465</v>
      </c>
      <c r="E144" s="31" t="s">
        <v>2468</v>
      </c>
      <c r="F144" s="31" t="s">
        <v>1214</v>
      </c>
      <c r="G144" s="29"/>
      <c r="H144" s="25" t="s">
        <v>2325</v>
      </c>
    </row>
    <row r="145" spans="1:8" s="6" customFormat="1" ht="19.5" hidden="1" customHeight="1" outlineLevel="1" x14ac:dyDescent="0.2">
      <c r="A145" s="52" t="s">
        <v>683</v>
      </c>
      <c r="B145" s="22">
        <v>134</v>
      </c>
      <c r="C145" s="31" t="s">
        <v>66</v>
      </c>
      <c r="D145" s="31" t="s">
        <v>702</v>
      </c>
      <c r="E145" s="31" t="s">
        <v>873</v>
      </c>
      <c r="F145" s="31" t="s">
        <v>1215</v>
      </c>
      <c r="G145" s="29"/>
      <c r="H145" s="25" t="s">
        <v>2326</v>
      </c>
    </row>
    <row r="146" spans="1:8" s="6" customFormat="1" ht="19.5" hidden="1" customHeight="1" outlineLevel="1" x14ac:dyDescent="0.2">
      <c r="A146" s="52" t="s">
        <v>683</v>
      </c>
      <c r="B146" s="22">
        <v>135</v>
      </c>
      <c r="C146" s="31" t="s">
        <v>142</v>
      </c>
      <c r="D146" s="31" t="s">
        <v>268</v>
      </c>
      <c r="E146" s="31" t="s">
        <v>2469</v>
      </c>
      <c r="F146" s="31" t="s">
        <v>1216</v>
      </c>
      <c r="G146" s="29"/>
      <c r="H146" s="25" t="s">
        <v>2327</v>
      </c>
    </row>
    <row r="147" spans="1:8" s="6" customFormat="1" ht="19.5" hidden="1" customHeight="1" outlineLevel="1" x14ac:dyDescent="0.2">
      <c r="A147" s="52"/>
      <c r="B147" s="22">
        <v>136</v>
      </c>
      <c r="C147" s="31" t="s">
        <v>329</v>
      </c>
      <c r="D147" s="31" t="s">
        <v>64</v>
      </c>
      <c r="E147" s="31" t="s">
        <v>874</v>
      </c>
      <c r="F147" s="31" t="s">
        <v>1217</v>
      </c>
      <c r="G147" s="44"/>
      <c r="H147" s="25" t="s">
        <v>2328</v>
      </c>
    </row>
    <row r="148" spans="1:8" s="6" customFormat="1" ht="19.5" hidden="1" customHeight="1" outlineLevel="1" x14ac:dyDescent="0.2">
      <c r="A148" s="52"/>
      <c r="B148" s="22">
        <v>137</v>
      </c>
      <c r="C148" s="31" t="s">
        <v>327</v>
      </c>
      <c r="D148" s="31" t="s">
        <v>328</v>
      </c>
      <c r="E148" s="31" t="s">
        <v>2470</v>
      </c>
      <c r="F148" s="31" t="s">
        <v>1218</v>
      </c>
      <c r="G148" s="29"/>
      <c r="H148" s="25" t="s">
        <v>2329</v>
      </c>
    </row>
    <row r="149" spans="1:8" s="6" customFormat="1" ht="19.5" hidden="1" customHeight="1" outlineLevel="1" x14ac:dyDescent="0.2">
      <c r="A149" s="52"/>
      <c r="B149" s="22">
        <v>138</v>
      </c>
      <c r="C149" s="31" t="s">
        <v>330</v>
      </c>
      <c r="D149" s="31" t="s">
        <v>65</v>
      </c>
      <c r="E149" s="31" t="s">
        <v>2471</v>
      </c>
      <c r="F149" s="31" t="s">
        <v>1219</v>
      </c>
      <c r="G149" s="29"/>
      <c r="H149" s="25" t="s">
        <v>2330</v>
      </c>
    </row>
    <row r="150" spans="1:8" s="6" customFormat="1" ht="19.5" hidden="1" customHeight="1" outlineLevel="1" x14ac:dyDescent="0.2">
      <c r="A150" s="26"/>
      <c r="B150" s="22">
        <v>139</v>
      </c>
      <c r="C150" s="31" t="s">
        <v>190</v>
      </c>
      <c r="D150" s="31" t="s">
        <v>466</v>
      </c>
      <c r="E150" s="31" t="s">
        <v>1062</v>
      </c>
      <c r="F150" s="31" t="s">
        <v>1220</v>
      </c>
      <c r="G150" s="29"/>
      <c r="H150" s="25" t="s">
        <v>2331</v>
      </c>
    </row>
    <row r="151" spans="1:8" s="6" customFormat="1" ht="19.5" hidden="1" customHeight="1" outlineLevel="1" x14ac:dyDescent="0.2">
      <c r="A151" s="26"/>
      <c r="B151" s="22">
        <v>140</v>
      </c>
      <c r="C151" s="27" t="s">
        <v>200</v>
      </c>
      <c r="D151" s="27" t="s">
        <v>70</v>
      </c>
      <c r="E151" s="31" t="s">
        <v>2472</v>
      </c>
      <c r="F151" s="31" t="s">
        <v>1221</v>
      </c>
      <c r="G151" s="42"/>
      <c r="H151" s="25" t="s">
        <v>2332</v>
      </c>
    </row>
    <row r="152" spans="1:8" s="6" customFormat="1" ht="19.5" hidden="1" customHeight="1" outlineLevel="1" x14ac:dyDescent="0.2">
      <c r="A152" s="26" t="s">
        <v>683</v>
      </c>
      <c r="B152" s="22">
        <v>141</v>
      </c>
      <c r="C152" s="27" t="s">
        <v>67</v>
      </c>
      <c r="D152" s="27" t="s">
        <v>703</v>
      </c>
      <c r="E152" s="31" t="s">
        <v>2473</v>
      </c>
      <c r="F152" s="31" t="s">
        <v>1222</v>
      </c>
      <c r="G152" s="42"/>
      <c r="H152" s="25" t="s">
        <v>2333</v>
      </c>
    </row>
    <row r="153" spans="1:8" s="6" customFormat="1" ht="19.5" hidden="1" customHeight="1" outlineLevel="1" x14ac:dyDescent="0.2">
      <c r="A153" s="26"/>
      <c r="B153" s="22">
        <v>142</v>
      </c>
      <c r="C153" s="31" t="s">
        <v>468</v>
      </c>
      <c r="D153" s="31" t="s">
        <v>469</v>
      </c>
      <c r="E153" s="31" t="s">
        <v>2474</v>
      </c>
      <c r="F153" s="31" t="s">
        <v>1223</v>
      </c>
      <c r="G153" s="42"/>
      <c r="H153" s="25" t="s">
        <v>2334</v>
      </c>
    </row>
    <row r="154" spans="1:8" s="6" customFormat="1" ht="19.5" hidden="1" customHeight="1" outlineLevel="1" x14ac:dyDescent="0.2">
      <c r="A154" s="26" t="s">
        <v>683</v>
      </c>
      <c r="B154" s="22">
        <v>143</v>
      </c>
      <c r="C154" s="27" t="s">
        <v>143</v>
      </c>
      <c r="D154" s="31" t="s">
        <v>704</v>
      </c>
      <c r="E154" s="31" t="s">
        <v>2475</v>
      </c>
      <c r="F154" s="31" t="s">
        <v>1224</v>
      </c>
      <c r="G154" s="42"/>
      <c r="H154" s="25" t="s">
        <v>2335</v>
      </c>
    </row>
    <row r="155" spans="1:8" s="6" customFormat="1" ht="19.5" hidden="1" customHeight="1" outlineLevel="1" x14ac:dyDescent="0.2">
      <c r="A155" s="26" t="s">
        <v>683</v>
      </c>
      <c r="B155" s="22">
        <v>144</v>
      </c>
      <c r="C155" s="27" t="s">
        <v>68</v>
      </c>
      <c r="D155" s="31" t="s">
        <v>705</v>
      </c>
      <c r="E155" s="31" t="s">
        <v>2476</v>
      </c>
      <c r="F155" s="31" t="s">
        <v>1225</v>
      </c>
      <c r="G155" s="42"/>
      <c r="H155" s="25" t="s">
        <v>2336</v>
      </c>
    </row>
    <row r="156" spans="1:8" s="6" customFormat="1" ht="19.5" hidden="1" customHeight="1" outlineLevel="1" x14ac:dyDescent="0.2">
      <c r="A156" s="26" t="s">
        <v>683</v>
      </c>
      <c r="B156" s="22">
        <v>145</v>
      </c>
      <c r="C156" s="27" t="s">
        <v>69</v>
      </c>
      <c r="D156" s="31" t="s">
        <v>706</v>
      </c>
      <c r="E156" s="31" t="s">
        <v>2477</v>
      </c>
      <c r="F156" s="31" t="s">
        <v>1226</v>
      </c>
      <c r="G156" s="42"/>
      <c r="H156" s="25" t="s">
        <v>2337</v>
      </c>
    </row>
    <row r="157" spans="1:8" s="6" customFormat="1" ht="19.5" hidden="1" customHeight="1" outlineLevel="1" x14ac:dyDescent="0.2">
      <c r="A157" s="26"/>
      <c r="B157" s="22">
        <v>146</v>
      </c>
      <c r="C157" s="27" t="s">
        <v>2478</v>
      </c>
      <c r="D157" s="27" t="s">
        <v>2479</v>
      </c>
      <c r="E157" s="31" t="s">
        <v>875</v>
      </c>
      <c r="F157" s="31" t="s">
        <v>1227</v>
      </c>
      <c r="G157" s="42"/>
      <c r="H157" s="25" t="s">
        <v>2338</v>
      </c>
    </row>
    <row r="158" spans="1:8" s="6" customFormat="1" ht="19.5" hidden="1" customHeight="1" outlineLevel="1" x14ac:dyDescent="0.2">
      <c r="A158" s="26"/>
      <c r="B158" s="22">
        <v>147</v>
      </c>
      <c r="C158" s="28" t="s">
        <v>460</v>
      </c>
      <c r="D158" s="28" t="s">
        <v>461</v>
      </c>
      <c r="E158" s="31" t="s">
        <v>877</v>
      </c>
      <c r="F158" s="31" t="s">
        <v>1228</v>
      </c>
      <c r="G158" s="33"/>
      <c r="H158" s="25" t="s">
        <v>2339</v>
      </c>
    </row>
    <row r="159" spans="1:8" s="6" customFormat="1" ht="19.5" hidden="1" customHeight="1" outlineLevel="1" x14ac:dyDescent="0.2">
      <c r="A159" s="26"/>
      <c r="B159" s="22">
        <v>148</v>
      </c>
      <c r="C159" s="31" t="s">
        <v>467</v>
      </c>
      <c r="D159" s="31" t="s">
        <v>471</v>
      </c>
      <c r="E159" s="31" t="s">
        <v>2480</v>
      </c>
      <c r="F159" s="31" t="s">
        <v>1229</v>
      </c>
      <c r="G159" s="29"/>
      <c r="H159" s="25" t="s">
        <v>2340</v>
      </c>
    </row>
    <row r="160" spans="1:8" s="6" customFormat="1" ht="19.5" hidden="1" customHeight="1" outlineLevel="1" x14ac:dyDescent="0.2">
      <c r="A160" s="26"/>
      <c r="B160" s="22">
        <v>149</v>
      </c>
      <c r="C160" s="31" t="s">
        <v>470</v>
      </c>
      <c r="D160" s="31" t="s">
        <v>472</v>
      </c>
      <c r="E160" s="28" t="s">
        <v>2481</v>
      </c>
      <c r="F160" s="28" t="s">
        <v>1230</v>
      </c>
      <c r="G160" s="28"/>
      <c r="H160" s="25" t="s">
        <v>2341</v>
      </c>
    </row>
    <row r="161" spans="1:8" s="6" customFormat="1" ht="19.5" hidden="1" customHeight="1" outlineLevel="1" x14ac:dyDescent="0.2">
      <c r="A161" s="26"/>
      <c r="B161" s="22">
        <v>150</v>
      </c>
      <c r="C161" s="31" t="s">
        <v>772</v>
      </c>
      <c r="D161" s="31" t="s">
        <v>773</v>
      </c>
      <c r="E161" s="31" t="s">
        <v>2482</v>
      </c>
      <c r="F161" s="31" t="s">
        <v>1231</v>
      </c>
      <c r="G161" s="29"/>
      <c r="H161" s="25" t="s">
        <v>2342</v>
      </c>
    </row>
    <row r="162" spans="1:8" s="6" customFormat="1" ht="19.5" hidden="1" customHeight="1" outlineLevel="1" x14ac:dyDescent="0.2">
      <c r="A162" s="26" t="s">
        <v>683</v>
      </c>
      <c r="B162" s="22">
        <v>151</v>
      </c>
      <c r="C162" s="27" t="s">
        <v>204</v>
      </c>
      <c r="D162" s="27" t="s">
        <v>707</v>
      </c>
      <c r="E162" s="31" t="s">
        <v>2483</v>
      </c>
      <c r="F162" s="31" t="s">
        <v>1232</v>
      </c>
      <c r="G162" s="42"/>
      <c r="H162" s="25" t="s">
        <v>2343</v>
      </c>
    </row>
    <row r="163" spans="1:8" s="6" customFormat="1" ht="19.5" hidden="1" customHeight="1" outlineLevel="1" x14ac:dyDescent="0.2">
      <c r="A163" s="52" t="s">
        <v>683</v>
      </c>
      <c r="B163" s="22">
        <v>152</v>
      </c>
      <c r="C163" s="27" t="s">
        <v>2722</v>
      </c>
      <c r="D163" s="27" t="s">
        <v>2721</v>
      </c>
      <c r="E163" s="31" t="s">
        <v>2804</v>
      </c>
      <c r="F163" s="31" t="s">
        <v>2805</v>
      </c>
      <c r="G163" s="42"/>
      <c r="H163" s="25" t="s">
        <v>2344</v>
      </c>
    </row>
    <row r="164" spans="1:8" s="6" customFormat="1" ht="19.5" hidden="1" customHeight="1" outlineLevel="1" x14ac:dyDescent="0.2">
      <c r="A164" s="52"/>
      <c r="B164" s="22">
        <v>153</v>
      </c>
      <c r="C164" s="27" t="s">
        <v>202</v>
      </c>
      <c r="D164" s="27" t="s">
        <v>269</v>
      </c>
      <c r="E164" s="31" t="s">
        <v>876</v>
      </c>
      <c r="F164" s="31" t="s">
        <v>1233</v>
      </c>
      <c r="G164" s="42"/>
      <c r="H164" s="25" t="s">
        <v>2345</v>
      </c>
    </row>
    <row r="165" spans="1:8" s="6" customFormat="1" ht="19.5" hidden="1" customHeight="1" outlineLevel="1" x14ac:dyDescent="0.2">
      <c r="A165" s="26"/>
      <c r="B165" s="22">
        <v>154</v>
      </c>
      <c r="C165" s="27" t="s">
        <v>201</v>
      </c>
      <c r="D165" s="27" t="s">
        <v>203</v>
      </c>
      <c r="E165" s="31" t="s">
        <v>2484</v>
      </c>
      <c r="F165" s="31" t="s">
        <v>1234</v>
      </c>
      <c r="G165" s="42"/>
      <c r="H165" s="25" t="s">
        <v>2346</v>
      </c>
    </row>
    <row r="166" spans="1:8" s="16" customFormat="1" ht="39.75" hidden="1" customHeight="1" outlineLevel="1" x14ac:dyDescent="0.2">
      <c r="A166" s="52" t="s">
        <v>602</v>
      </c>
      <c r="B166" s="22">
        <v>155</v>
      </c>
      <c r="C166" s="28" t="s">
        <v>774</v>
      </c>
      <c r="D166" s="28" t="s">
        <v>775</v>
      </c>
      <c r="E166" s="639" t="s">
        <v>2485</v>
      </c>
      <c r="F166" s="639" t="s">
        <v>1235</v>
      </c>
      <c r="G166" s="28"/>
      <c r="H166" s="25" t="s">
        <v>2347</v>
      </c>
    </row>
    <row r="167" spans="1:8" ht="19.5" hidden="1" customHeight="1" outlineLevel="1" x14ac:dyDescent="0.2">
      <c r="A167" s="52" t="s">
        <v>602</v>
      </c>
      <c r="B167" s="22">
        <v>156</v>
      </c>
      <c r="C167" s="27" t="s">
        <v>813</v>
      </c>
      <c r="D167" s="27" t="s">
        <v>814</v>
      </c>
      <c r="E167" s="639" t="s">
        <v>878</v>
      </c>
      <c r="F167" s="639" t="s">
        <v>1236</v>
      </c>
      <c r="G167" s="42"/>
      <c r="H167" s="25" t="s">
        <v>2348</v>
      </c>
    </row>
    <row r="168" spans="1:8" ht="19.5" hidden="1" customHeight="1" outlineLevel="1" x14ac:dyDescent="0.2">
      <c r="A168" s="53" t="s">
        <v>1091</v>
      </c>
      <c r="B168" s="22">
        <v>157</v>
      </c>
      <c r="C168" s="54" t="s">
        <v>1453</v>
      </c>
      <c r="D168" s="54" t="s">
        <v>1454</v>
      </c>
      <c r="E168" s="639" t="s">
        <v>2486</v>
      </c>
      <c r="F168" s="639" t="s">
        <v>1454</v>
      </c>
      <c r="G168" s="42"/>
      <c r="H168" s="25" t="s">
        <v>2349</v>
      </c>
    </row>
    <row r="169" spans="1:8" ht="19.5" hidden="1" customHeight="1" outlineLevel="1" x14ac:dyDescent="0.2">
      <c r="A169" s="52" t="s">
        <v>602</v>
      </c>
      <c r="B169" s="22">
        <v>158</v>
      </c>
      <c r="C169" s="27"/>
      <c r="D169" s="27"/>
      <c r="E169" s="639"/>
      <c r="F169" s="639"/>
      <c r="G169" s="42"/>
      <c r="H169" s="25" t="s">
        <v>2350</v>
      </c>
    </row>
    <row r="170" spans="1:8" ht="19.5" hidden="1" customHeight="1" outlineLevel="1" x14ac:dyDescent="0.2">
      <c r="A170" s="26" t="s">
        <v>683</v>
      </c>
      <c r="B170" s="22">
        <v>159</v>
      </c>
      <c r="C170" s="27" t="s">
        <v>196</v>
      </c>
      <c r="D170" s="27" t="s">
        <v>708</v>
      </c>
      <c r="E170" s="27" t="s">
        <v>2487</v>
      </c>
      <c r="F170" s="27" t="s">
        <v>1237</v>
      </c>
      <c r="G170" s="42"/>
      <c r="H170" s="25" t="s">
        <v>2351</v>
      </c>
    </row>
    <row r="171" spans="1:8" ht="19.5" hidden="1" customHeight="1" outlineLevel="1" x14ac:dyDescent="0.2">
      <c r="A171" s="26"/>
      <c r="B171" s="22">
        <v>160</v>
      </c>
      <c r="C171" s="27" t="s">
        <v>195</v>
      </c>
      <c r="D171" s="27" t="s">
        <v>259</v>
      </c>
      <c r="E171" s="27" t="s">
        <v>2488</v>
      </c>
      <c r="F171" s="27" t="s">
        <v>1238</v>
      </c>
      <c r="G171" s="42"/>
      <c r="H171" s="25" t="s">
        <v>2352</v>
      </c>
    </row>
    <row r="172" spans="1:8" ht="28.5" hidden="1" customHeight="1" outlineLevel="1" x14ac:dyDescent="0.2">
      <c r="A172" s="26"/>
      <c r="B172" s="22">
        <v>161</v>
      </c>
      <c r="C172" s="31" t="s">
        <v>80</v>
      </c>
      <c r="D172" s="31" t="s">
        <v>260</v>
      </c>
      <c r="E172" s="28" t="s">
        <v>2489</v>
      </c>
      <c r="F172" s="28" t="s">
        <v>1239</v>
      </c>
      <c r="G172" s="42"/>
      <c r="H172" s="25" t="s">
        <v>2353</v>
      </c>
    </row>
    <row r="173" spans="1:8" ht="27.75" hidden="1" customHeight="1" outlineLevel="1" x14ac:dyDescent="0.2">
      <c r="A173" s="26" t="s">
        <v>1705</v>
      </c>
      <c r="B173" s="22">
        <v>162</v>
      </c>
      <c r="C173" s="28" t="s">
        <v>1828</v>
      </c>
      <c r="D173" s="28" t="s">
        <v>1829</v>
      </c>
      <c r="E173" s="28" t="s">
        <v>2490</v>
      </c>
      <c r="F173" s="28" t="s">
        <v>1830</v>
      </c>
      <c r="G173" s="591"/>
      <c r="H173" s="25" t="s">
        <v>2354</v>
      </c>
    </row>
    <row r="174" spans="1:8" ht="19.5" hidden="1" customHeight="1" outlineLevel="1" x14ac:dyDescent="0.2">
      <c r="A174" s="26"/>
      <c r="B174" s="22">
        <v>163</v>
      </c>
      <c r="C174" s="31" t="s">
        <v>222</v>
      </c>
      <c r="D174" s="31" t="s">
        <v>223</v>
      </c>
      <c r="E174" s="28" t="s">
        <v>879</v>
      </c>
      <c r="F174" s="28" t="s">
        <v>1240</v>
      </c>
      <c r="G174" s="28"/>
      <c r="H174" s="25" t="s">
        <v>2355</v>
      </c>
    </row>
    <row r="175" spans="1:8" ht="19.5" hidden="1" customHeight="1" outlineLevel="1" x14ac:dyDescent="0.2">
      <c r="A175" s="26"/>
      <c r="B175" s="22">
        <v>164</v>
      </c>
      <c r="C175" s="31" t="s">
        <v>224</v>
      </c>
      <c r="D175" s="31" t="s">
        <v>224</v>
      </c>
      <c r="E175" s="28" t="s">
        <v>880</v>
      </c>
      <c r="F175" s="28" t="s">
        <v>1241</v>
      </c>
      <c r="G175" s="28"/>
      <c r="H175" s="25" t="s">
        <v>2356</v>
      </c>
    </row>
    <row r="176" spans="1:8" ht="19.5" hidden="1" customHeight="1" outlineLevel="1" x14ac:dyDescent="0.2">
      <c r="A176" s="26"/>
      <c r="B176" s="22">
        <v>165</v>
      </c>
      <c r="C176" s="31" t="s">
        <v>206</v>
      </c>
      <c r="D176" s="31" t="s">
        <v>207</v>
      </c>
      <c r="E176" s="28" t="s">
        <v>825</v>
      </c>
      <c r="F176" s="28" t="s">
        <v>1111</v>
      </c>
      <c r="G176" s="28"/>
      <c r="H176" s="25" t="s">
        <v>2357</v>
      </c>
    </row>
    <row r="177" spans="1:8" ht="19.5" hidden="1" customHeight="1" outlineLevel="1" x14ac:dyDescent="0.2">
      <c r="A177" s="26"/>
      <c r="B177" s="22">
        <v>166</v>
      </c>
      <c r="C177" s="31" t="s">
        <v>130</v>
      </c>
      <c r="D177" s="31" t="s">
        <v>226</v>
      </c>
      <c r="E177" s="28" t="s">
        <v>881</v>
      </c>
      <c r="F177" s="28" t="s">
        <v>1242</v>
      </c>
      <c r="G177" s="28"/>
      <c r="H177" s="25" t="s">
        <v>2358</v>
      </c>
    </row>
    <row r="178" spans="1:8" ht="19.5" hidden="1" customHeight="1" outlineLevel="1" x14ac:dyDescent="0.2">
      <c r="A178" s="26"/>
      <c r="B178" s="22">
        <v>167</v>
      </c>
      <c r="C178" s="31" t="s">
        <v>428</v>
      </c>
      <c r="D178" s="31" t="s">
        <v>427</v>
      </c>
      <c r="E178" s="28" t="s">
        <v>2491</v>
      </c>
      <c r="F178" s="28" t="s">
        <v>1243</v>
      </c>
      <c r="G178" s="28"/>
      <c r="H178" s="25" t="s">
        <v>2359</v>
      </c>
    </row>
    <row r="179" spans="1:8" ht="19.5" hidden="1" customHeight="1" outlineLevel="1" x14ac:dyDescent="0.2">
      <c r="A179" s="26"/>
      <c r="B179" s="22">
        <v>168</v>
      </c>
      <c r="C179" s="31" t="s">
        <v>129</v>
      </c>
      <c r="D179" s="31" t="s">
        <v>291</v>
      </c>
      <c r="E179" s="28" t="s">
        <v>2492</v>
      </c>
      <c r="F179" s="28" t="s">
        <v>1244</v>
      </c>
      <c r="G179" s="29"/>
      <c r="H179" s="25" t="s">
        <v>2360</v>
      </c>
    </row>
    <row r="180" spans="1:8" ht="19.5" hidden="1" customHeight="1" outlineLevel="1" x14ac:dyDescent="0.2">
      <c r="A180" s="26"/>
      <c r="B180" s="22">
        <v>169</v>
      </c>
      <c r="C180" s="31" t="s">
        <v>199</v>
      </c>
      <c r="D180" s="31" t="s">
        <v>236</v>
      </c>
      <c r="E180" s="28" t="s">
        <v>882</v>
      </c>
      <c r="F180" s="28" t="s">
        <v>1245</v>
      </c>
      <c r="G180" s="29"/>
      <c r="H180" s="25" t="s">
        <v>2361</v>
      </c>
    </row>
    <row r="181" spans="1:8" ht="19.5" hidden="1" customHeight="1" outlineLevel="1" x14ac:dyDescent="0.2">
      <c r="A181" s="26"/>
      <c r="B181" s="22">
        <v>170</v>
      </c>
      <c r="C181" s="31" t="s">
        <v>128</v>
      </c>
      <c r="D181" s="31" t="s">
        <v>237</v>
      </c>
      <c r="E181" s="28" t="s">
        <v>2493</v>
      </c>
      <c r="F181" s="28" t="s">
        <v>1246</v>
      </c>
      <c r="G181" s="29"/>
      <c r="H181" s="25" t="s">
        <v>2362</v>
      </c>
    </row>
    <row r="182" spans="1:8" ht="30" hidden="1" customHeight="1" outlineLevel="1" x14ac:dyDescent="0.2">
      <c r="A182" s="26"/>
      <c r="B182" s="22">
        <v>171</v>
      </c>
      <c r="C182" s="28" t="s">
        <v>339</v>
      </c>
      <c r="D182" s="28" t="s">
        <v>340</v>
      </c>
      <c r="E182" s="28" t="s">
        <v>2494</v>
      </c>
      <c r="F182" s="28" t="s">
        <v>1247</v>
      </c>
      <c r="G182" s="29"/>
      <c r="H182" s="25" t="s">
        <v>2363</v>
      </c>
    </row>
    <row r="183" spans="1:8" ht="30" hidden="1" customHeight="1" outlineLevel="1" x14ac:dyDescent="0.2">
      <c r="A183" s="26" t="s">
        <v>683</v>
      </c>
      <c r="B183" s="22">
        <v>172</v>
      </c>
      <c r="C183" s="28" t="s">
        <v>341</v>
      </c>
      <c r="D183" s="28" t="s">
        <v>709</v>
      </c>
      <c r="E183" s="28" t="s">
        <v>883</v>
      </c>
      <c r="F183" s="28" t="s">
        <v>1248</v>
      </c>
      <c r="G183" s="29"/>
      <c r="H183" s="25" t="s">
        <v>2193</v>
      </c>
    </row>
    <row r="184" spans="1:8" ht="19.5" hidden="1" customHeight="1" outlineLevel="1" x14ac:dyDescent="0.2">
      <c r="A184" s="26" t="s">
        <v>683</v>
      </c>
      <c r="B184" s="22">
        <v>173</v>
      </c>
      <c r="C184" s="31" t="s">
        <v>295</v>
      </c>
      <c r="D184" s="31" t="s">
        <v>710</v>
      </c>
      <c r="E184" s="28" t="s">
        <v>2495</v>
      </c>
      <c r="F184" s="28" t="s">
        <v>1249</v>
      </c>
      <c r="G184" s="29"/>
      <c r="H184" s="55" t="s">
        <v>494</v>
      </c>
    </row>
    <row r="185" spans="1:8" ht="19.5" hidden="1" customHeight="1" outlineLevel="1" x14ac:dyDescent="0.2">
      <c r="A185" s="26" t="s">
        <v>602</v>
      </c>
      <c r="B185" s="22">
        <v>174</v>
      </c>
      <c r="C185" s="31" t="s">
        <v>2496</v>
      </c>
      <c r="D185" s="31" t="s">
        <v>678</v>
      </c>
      <c r="E185" s="28" t="s">
        <v>884</v>
      </c>
      <c r="F185" s="28" t="s">
        <v>1250</v>
      </c>
      <c r="G185" s="29"/>
      <c r="H185" s="55" t="s">
        <v>495</v>
      </c>
    </row>
    <row r="186" spans="1:8" ht="19.5" hidden="1" customHeight="1" outlineLevel="1" x14ac:dyDescent="0.2">
      <c r="A186" s="26" t="s">
        <v>602</v>
      </c>
      <c r="B186" s="22">
        <v>175</v>
      </c>
      <c r="C186" s="31" t="s">
        <v>777</v>
      </c>
      <c r="D186" s="31" t="s">
        <v>779</v>
      </c>
      <c r="E186" s="28" t="s">
        <v>2497</v>
      </c>
      <c r="F186" s="28" t="s">
        <v>1251</v>
      </c>
      <c r="G186" s="29"/>
      <c r="H186" s="55" t="s">
        <v>496</v>
      </c>
    </row>
    <row r="187" spans="1:8" ht="19.5" hidden="1" customHeight="1" outlineLevel="1" x14ac:dyDescent="0.2">
      <c r="A187" s="26" t="s">
        <v>602</v>
      </c>
      <c r="B187" s="22">
        <v>176</v>
      </c>
      <c r="C187" s="31" t="s">
        <v>778</v>
      </c>
      <c r="D187" s="31" t="s">
        <v>780</v>
      </c>
      <c r="E187" s="28" t="s">
        <v>2498</v>
      </c>
      <c r="F187" s="28" t="s">
        <v>1252</v>
      </c>
      <c r="G187" s="29"/>
      <c r="H187" s="55" t="s">
        <v>497</v>
      </c>
    </row>
    <row r="188" spans="1:8" ht="19.5" hidden="1" customHeight="1" outlineLevel="1" x14ac:dyDescent="0.2">
      <c r="A188" s="26" t="s">
        <v>602</v>
      </c>
      <c r="B188" s="22">
        <v>177</v>
      </c>
      <c r="C188" s="31" t="s">
        <v>781</v>
      </c>
      <c r="D188" s="31" t="s">
        <v>781</v>
      </c>
      <c r="E188" s="28" t="s">
        <v>885</v>
      </c>
      <c r="F188" s="28" t="s">
        <v>2499</v>
      </c>
      <c r="G188" s="56"/>
      <c r="H188" s="55" t="s">
        <v>498</v>
      </c>
    </row>
    <row r="189" spans="1:8" ht="19.5" hidden="1" customHeight="1" outlineLevel="1" x14ac:dyDescent="0.2">
      <c r="A189" s="26" t="s">
        <v>602</v>
      </c>
      <c r="B189" s="22">
        <v>178</v>
      </c>
      <c r="C189" s="31" t="s">
        <v>782</v>
      </c>
      <c r="D189" s="31" t="s">
        <v>776</v>
      </c>
      <c r="E189" s="28" t="s">
        <v>886</v>
      </c>
      <c r="F189" s="28" t="s">
        <v>1253</v>
      </c>
      <c r="G189" s="56"/>
      <c r="H189" s="55" t="s">
        <v>499</v>
      </c>
    </row>
    <row r="190" spans="1:8" ht="19.5" hidden="1" customHeight="1" outlineLevel="1" x14ac:dyDescent="0.2">
      <c r="A190" s="26" t="s">
        <v>602</v>
      </c>
      <c r="B190" s="22">
        <v>179</v>
      </c>
      <c r="C190" s="31" t="s">
        <v>794</v>
      </c>
      <c r="D190" s="31" t="s">
        <v>795</v>
      </c>
      <c r="E190" s="28" t="s">
        <v>887</v>
      </c>
      <c r="F190" s="28" t="s">
        <v>1254</v>
      </c>
      <c r="G190" s="29"/>
      <c r="H190" s="55" t="s">
        <v>500</v>
      </c>
    </row>
    <row r="191" spans="1:8" ht="19.5" hidden="1" customHeight="1" outlineLevel="1" x14ac:dyDescent="0.2">
      <c r="A191" s="26" t="s">
        <v>602</v>
      </c>
      <c r="B191" s="22">
        <v>180</v>
      </c>
      <c r="C191" s="31" t="s">
        <v>796</v>
      </c>
      <c r="D191" s="31" t="s">
        <v>799</v>
      </c>
      <c r="E191" s="28" t="s">
        <v>888</v>
      </c>
      <c r="F191" s="28" t="s">
        <v>1255</v>
      </c>
      <c r="G191" s="29"/>
      <c r="H191" s="55" t="s">
        <v>501</v>
      </c>
    </row>
    <row r="192" spans="1:8" ht="19.5" hidden="1" customHeight="1" outlineLevel="1" x14ac:dyDescent="0.2">
      <c r="A192" s="26" t="s">
        <v>602</v>
      </c>
      <c r="B192" s="22">
        <v>181</v>
      </c>
      <c r="C192" s="31" t="s">
        <v>797</v>
      </c>
      <c r="D192" s="31" t="s">
        <v>800</v>
      </c>
      <c r="E192" s="28" t="s">
        <v>889</v>
      </c>
      <c r="F192" s="28" t="s">
        <v>1256</v>
      </c>
      <c r="G192" s="28"/>
      <c r="H192" s="55" t="s">
        <v>502</v>
      </c>
    </row>
    <row r="193" spans="1:8" ht="19.5" hidden="1" customHeight="1" outlineLevel="1" x14ac:dyDescent="0.2">
      <c r="A193" s="26" t="s">
        <v>602</v>
      </c>
      <c r="B193" s="22">
        <v>182</v>
      </c>
      <c r="C193" s="31" t="s">
        <v>798</v>
      </c>
      <c r="D193" s="31" t="s">
        <v>801</v>
      </c>
      <c r="E193" s="28" t="s">
        <v>2500</v>
      </c>
      <c r="F193" s="28" t="s">
        <v>1257</v>
      </c>
      <c r="G193" s="57"/>
      <c r="H193" s="55" t="s">
        <v>503</v>
      </c>
    </row>
    <row r="194" spans="1:8" ht="19.5" hidden="1" customHeight="1" outlineLevel="1" x14ac:dyDescent="0.2">
      <c r="A194" s="26" t="s">
        <v>602</v>
      </c>
      <c r="B194" s="22">
        <v>183</v>
      </c>
      <c r="C194" s="31" t="s">
        <v>805</v>
      </c>
      <c r="D194" s="31" t="s">
        <v>806</v>
      </c>
      <c r="E194" s="28" t="s">
        <v>890</v>
      </c>
      <c r="F194" s="28" t="s">
        <v>1258</v>
      </c>
      <c r="G194" s="28"/>
      <c r="H194" s="55" t="s">
        <v>504</v>
      </c>
    </row>
    <row r="195" spans="1:8" ht="19.5" hidden="1" customHeight="1" outlineLevel="1" x14ac:dyDescent="0.2">
      <c r="A195" s="26" t="s">
        <v>602</v>
      </c>
      <c r="B195" s="22">
        <v>184</v>
      </c>
      <c r="C195" s="31" t="s">
        <v>2501</v>
      </c>
      <c r="D195" s="31" t="s">
        <v>2502</v>
      </c>
      <c r="E195" s="28" t="s">
        <v>891</v>
      </c>
      <c r="F195" s="28" t="s">
        <v>1259</v>
      </c>
      <c r="G195" s="28"/>
      <c r="H195" s="55" t="s">
        <v>505</v>
      </c>
    </row>
    <row r="196" spans="1:8" ht="19.5" hidden="1" customHeight="1" outlineLevel="1" x14ac:dyDescent="0.2">
      <c r="A196" s="26" t="s">
        <v>602</v>
      </c>
      <c r="B196" s="22">
        <v>185</v>
      </c>
      <c r="C196" s="31" t="s">
        <v>785</v>
      </c>
      <c r="D196" s="31" t="s">
        <v>803</v>
      </c>
      <c r="E196" s="28" t="s">
        <v>892</v>
      </c>
      <c r="F196" s="28" t="s">
        <v>1260</v>
      </c>
      <c r="G196" s="29"/>
      <c r="H196" s="55" t="s">
        <v>506</v>
      </c>
    </row>
    <row r="197" spans="1:8" ht="19.5" hidden="1" customHeight="1" outlineLevel="1" x14ac:dyDescent="0.2">
      <c r="A197" s="26" t="s">
        <v>602</v>
      </c>
      <c r="B197" s="22">
        <v>186</v>
      </c>
      <c r="C197" s="31" t="s">
        <v>786</v>
      </c>
      <c r="D197" s="31" t="s">
        <v>802</v>
      </c>
      <c r="E197" s="28" t="s">
        <v>893</v>
      </c>
      <c r="F197" s="28" t="s">
        <v>2503</v>
      </c>
      <c r="G197" s="29"/>
      <c r="H197" s="55" t="s">
        <v>507</v>
      </c>
    </row>
    <row r="198" spans="1:8" ht="19.5" hidden="1" customHeight="1" outlineLevel="1" x14ac:dyDescent="0.2">
      <c r="A198" s="26" t="s">
        <v>602</v>
      </c>
      <c r="B198" s="22">
        <v>187</v>
      </c>
      <c r="C198" s="31" t="s">
        <v>811</v>
      </c>
      <c r="D198" s="31" t="s">
        <v>812</v>
      </c>
      <c r="E198" s="28" t="s">
        <v>2504</v>
      </c>
      <c r="F198" s="28" t="s">
        <v>1261</v>
      </c>
      <c r="G198" s="29"/>
      <c r="H198" s="55" t="s">
        <v>508</v>
      </c>
    </row>
    <row r="199" spans="1:8" ht="19.5" hidden="1" customHeight="1" outlineLevel="1" x14ac:dyDescent="0.2">
      <c r="A199" s="26" t="s">
        <v>602</v>
      </c>
      <c r="B199" s="22">
        <v>188</v>
      </c>
      <c r="C199" s="31" t="s">
        <v>808</v>
      </c>
      <c r="D199" s="31" t="s">
        <v>809</v>
      </c>
      <c r="E199" s="28" t="s">
        <v>2505</v>
      </c>
      <c r="F199" s="28" t="s">
        <v>1262</v>
      </c>
      <c r="G199" s="29"/>
      <c r="H199" s="55" t="s">
        <v>509</v>
      </c>
    </row>
    <row r="200" spans="1:8" ht="37.5" hidden="1" customHeight="1" outlineLevel="1" x14ac:dyDescent="0.2">
      <c r="A200" s="26" t="s">
        <v>602</v>
      </c>
      <c r="B200" s="22">
        <v>189</v>
      </c>
      <c r="C200" s="28" t="s">
        <v>807</v>
      </c>
      <c r="D200" s="28" t="s">
        <v>810</v>
      </c>
      <c r="E200" s="28" t="s">
        <v>2506</v>
      </c>
      <c r="F200" s="28" t="s">
        <v>1263</v>
      </c>
      <c r="G200" s="29"/>
      <c r="H200" s="55" t="s">
        <v>510</v>
      </c>
    </row>
    <row r="201" spans="1:8" ht="19.5" hidden="1" customHeight="1" outlineLevel="1" x14ac:dyDescent="0.2">
      <c r="A201" s="640" t="s">
        <v>1705</v>
      </c>
      <c r="B201" s="641">
        <v>190</v>
      </c>
      <c r="C201" s="591" t="s">
        <v>1789</v>
      </c>
      <c r="D201" s="591" t="s">
        <v>1790</v>
      </c>
      <c r="E201" s="28" t="s">
        <v>2507</v>
      </c>
      <c r="F201" s="28" t="s">
        <v>2508</v>
      </c>
      <c r="G201" s="29"/>
      <c r="H201" s="55" t="s">
        <v>511</v>
      </c>
    </row>
    <row r="202" spans="1:8" ht="19.5" hidden="1" customHeight="1" outlineLevel="1" x14ac:dyDescent="0.2">
      <c r="A202" s="640" t="s">
        <v>1705</v>
      </c>
      <c r="B202" s="641">
        <v>191</v>
      </c>
      <c r="C202" s="591" t="s">
        <v>1791</v>
      </c>
      <c r="D202" s="591" t="s">
        <v>1792</v>
      </c>
      <c r="E202" s="28" t="s">
        <v>2509</v>
      </c>
      <c r="F202" s="28" t="s">
        <v>2510</v>
      </c>
      <c r="G202" s="29"/>
      <c r="H202" s="55" t="s">
        <v>512</v>
      </c>
    </row>
    <row r="203" spans="1:8" ht="19.5" hidden="1" customHeight="1" outlineLevel="1" x14ac:dyDescent="0.2">
      <c r="A203" s="640" t="s">
        <v>1705</v>
      </c>
      <c r="B203" s="641">
        <v>192</v>
      </c>
      <c r="C203" s="591" t="s">
        <v>1793</v>
      </c>
      <c r="D203" s="591" t="s">
        <v>1794</v>
      </c>
      <c r="E203" s="28" t="s">
        <v>2511</v>
      </c>
      <c r="F203" s="28" t="s">
        <v>2512</v>
      </c>
      <c r="G203" s="29"/>
      <c r="H203" s="55" t="s">
        <v>513</v>
      </c>
    </row>
    <row r="204" spans="1:8" ht="19.5" hidden="1" customHeight="1" outlineLevel="1" x14ac:dyDescent="0.2">
      <c r="A204" s="640" t="s">
        <v>1705</v>
      </c>
      <c r="B204" s="641">
        <v>193</v>
      </c>
      <c r="C204" s="591" t="s">
        <v>1795</v>
      </c>
      <c r="D204" s="591" t="s">
        <v>1796</v>
      </c>
      <c r="E204" s="28" t="s">
        <v>2513</v>
      </c>
      <c r="F204" s="28" t="s">
        <v>2512</v>
      </c>
      <c r="G204" s="29"/>
      <c r="H204" s="55" t="s">
        <v>514</v>
      </c>
    </row>
    <row r="205" spans="1:8" ht="19.5" hidden="1" customHeight="1" outlineLevel="1" x14ac:dyDescent="0.2">
      <c r="A205" s="640" t="s">
        <v>1705</v>
      </c>
      <c r="B205" s="641">
        <v>194</v>
      </c>
      <c r="C205" s="591" t="s">
        <v>1797</v>
      </c>
      <c r="D205" s="591" t="s">
        <v>1798</v>
      </c>
      <c r="E205" s="28" t="s">
        <v>2514</v>
      </c>
      <c r="F205" s="28" t="s">
        <v>2515</v>
      </c>
      <c r="G205" s="29"/>
      <c r="H205" s="55" t="s">
        <v>515</v>
      </c>
    </row>
    <row r="206" spans="1:8" ht="19.5" hidden="1" customHeight="1" outlineLevel="1" x14ac:dyDescent="0.2">
      <c r="A206" s="640" t="s">
        <v>1705</v>
      </c>
      <c r="B206" s="641">
        <v>195</v>
      </c>
      <c r="C206" s="591" t="s">
        <v>1799</v>
      </c>
      <c r="D206" s="591" t="s">
        <v>1800</v>
      </c>
      <c r="E206" s="28" t="s">
        <v>2516</v>
      </c>
      <c r="F206" s="28" t="s">
        <v>2517</v>
      </c>
      <c r="G206" s="29"/>
      <c r="H206" s="55" t="s">
        <v>516</v>
      </c>
    </row>
    <row r="207" spans="1:8" ht="19.5" hidden="1" customHeight="1" outlineLevel="1" x14ac:dyDescent="0.2">
      <c r="A207" s="640" t="s">
        <v>1705</v>
      </c>
      <c r="B207" s="641">
        <v>196</v>
      </c>
      <c r="C207" s="591" t="s">
        <v>1801</v>
      </c>
      <c r="D207" s="591" t="s">
        <v>1802</v>
      </c>
      <c r="E207" s="28" t="s">
        <v>2518</v>
      </c>
      <c r="F207" s="28" t="s">
        <v>2519</v>
      </c>
      <c r="G207" s="29"/>
      <c r="H207" s="55" t="s">
        <v>517</v>
      </c>
    </row>
    <row r="208" spans="1:8" ht="19.5" hidden="1" customHeight="1" outlineLevel="1" x14ac:dyDescent="0.2">
      <c r="A208" s="640" t="s">
        <v>1705</v>
      </c>
      <c r="B208" s="641">
        <v>197</v>
      </c>
      <c r="C208" s="591" t="s">
        <v>1803</v>
      </c>
      <c r="D208" s="591" t="s">
        <v>1804</v>
      </c>
      <c r="E208" s="28" t="s">
        <v>2520</v>
      </c>
      <c r="F208" s="28" t="s">
        <v>2521</v>
      </c>
      <c r="G208" s="29"/>
      <c r="H208" s="55" t="s">
        <v>518</v>
      </c>
    </row>
    <row r="209" spans="1:8" ht="19.5" hidden="1" customHeight="1" outlineLevel="1" x14ac:dyDescent="0.2">
      <c r="A209" s="640" t="s">
        <v>1705</v>
      </c>
      <c r="B209" s="641">
        <v>198</v>
      </c>
      <c r="C209" s="591" t="s">
        <v>1805</v>
      </c>
      <c r="D209" s="591" t="s">
        <v>1806</v>
      </c>
      <c r="E209" s="28" t="s">
        <v>2522</v>
      </c>
      <c r="F209" s="28" t="s">
        <v>2523</v>
      </c>
      <c r="G209" s="29"/>
      <c r="H209" s="55" t="s">
        <v>519</v>
      </c>
    </row>
    <row r="210" spans="1:8" ht="19.5" hidden="1" customHeight="1" outlineLevel="1" x14ac:dyDescent="0.2">
      <c r="A210" s="640" t="s">
        <v>1705</v>
      </c>
      <c r="B210" s="641">
        <v>199</v>
      </c>
      <c r="C210" s="591" t="s">
        <v>1807</v>
      </c>
      <c r="D210" s="591" t="s">
        <v>1808</v>
      </c>
      <c r="E210" s="28" t="s">
        <v>2524</v>
      </c>
      <c r="F210" s="28" t="s">
        <v>2525</v>
      </c>
      <c r="G210" s="29"/>
      <c r="H210" s="55" t="s">
        <v>520</v>
      </c>
    </row>
    <row r="211" spans="1:8" ht="19.5" hidden="1" customHeight="1" x14ac:dyDescent="0.2">
      <c r="A211" s="640" t="s">
        <v>1705</v>
      </c>
      <c r="B211" s="641">
        <v>200</v>
      </c>
      <c r="C211" s="591" t="s">
        <v>1727</v>
      </c>
      <c r="D211" s="591" t="s">
        <v>1728</v>
      </c>
      <c r="E211" s="28" t="s">
        <v>2526</v>
      </c>
      <c r="F211" s="28" t="s">
        <v>2527</v>
      </c>
      <c r="G211" s="29"/>
      <c r="H211" s="58" t="s">
        <v>2161</v>
      </c>
    </row>
    <row r="212" spans="1:8" ht="19.5" hidden="1" customHeight="1" outlineLevel="1" x14ac:dyDescent="0.2">
      <c r="A212" s="52"/>
      <c r="B212" s="22">
        <v>201</v>
      </c>
      <c r="C212" s="31" t="s">
        <v>216</v>
      </c>
      <c r="D212" s="31" t="s">
        <v>246</v>
      </c>
      <c r="E212" s="28" t="s">
        <v>2528</v>
      </c>
      <c r="F212" s="28" t="s">
        <v>1264</v>
      </c>
      <c r="G212" s="29"/>
      <c r="H212" s="58" t="s">
        <v>2162</v>
      </c>
    </row>
    <row r="213" spans="1:8" ht="19.5" hidden="1" customHeight="1" outlineLevel="1" x14ac:dyDescent="0.2">
      <c r="A213" s="52"/>
      <c r="B213" s="22">
        <v>202</v>
      </c>
      <c r="C213" s="31" t="s">
        <v>2529</v>
      </c>
      <c r="D213" s="31" t="s">
        <v>2530</v>
      </c>
      <c r="E213" s="28" t="s">
        <v>2531</v>
      </c>
      <c r="F213" s="28" t="s">
        <v>2532</v>
      </c>
      <c r="G213" s="29"/>
      <c r="H213" s="58" t="s">
        <v>2163</v>
      </c>
    </row>
    <row r="214" spans="1:8" ht="19.5" hidden="1" customHeight="1" outlineLevel="1" x14ac:dyDescent="0.2">
      <c r="A214" s="52" t="s">
        <v>683</v>
      </c>
      <c r="B214" s="22">
        <v>203</v>
      </c>
      <c r="C214" s="31" t="s">
        <v>348</v>
      </c>
      <c r="D214" s="32" t="s">
        <v>711</v>
      </c>
      <c r="E214" s="31" t="s">
        <v>894</v>
      </c>
      <c r="F214" s="31" t="s">
        <v>1265</v>
      </c>
      <c r="G214" s="29"/>
      <c r="H214" s="58" t="s">
        <v>2164</v>
      </c>
    </row>
    <row r="215" spans="1:8" ht="19.5" hidden="1" customHeight="1" outlineLevel="1" x14ac:dyDescent="0.2">
      <c r="A215" s="52"/>
      <c r="B215" s="22">
        <v>204</v>
      </c>
      <c r="C215" s="31" t="s">
        <v>349</v>
      </c>
      <c r="D215" s="31" t="s">
        <v>350</v>
      </c>
      <c r="E215" s="31" t="s">
        <v>895</v>
      </c>
      <c r="F215" s="31" t="s">
        <v>1266</v>
      </c>
      <c r="G215" s="29"/>
      <c r="H215" s="58" t="s">
        <v>2165</v>
      </c>
    </row>
    <row r="216" spans="1:8" ht="19.5" hidden="1" customHeight="1" outlineLevel="1" x14ac:dyDescent="0.2">
      <c r="A216" s="26"/>
      <c r="B216" s="22">
        <v>205</v>
      </c>
      <c r="C216" s="31" t="s">
        <v>351</v>
      </c>
      <c r="D216" s="31" t="s">
        <v>352</v>
      </c>
      <c r="E216" s="31" t="s">
        <v>896</v>
      </c>
      <c r="F216" s="31" t="s">
        <v>1267</v>
      </c>
      <c r="G216" s="29"/>
      <c r="H216" s="58" t="s">
        <v>2166</v>
      </c>
    </row>
    <row r="217" spans="1:8" ht="19.5" hidden="1" customHeight="1" outlineLevel="1" x14ac:dyDescent="0.2">
      <c r="A217" s="26"/>
      <c r="B217" s="22">
        <v>206</v>
      </c>
      <c r="C217" s="31" t="s">
        <v>353</v>
      </c>
      <c r="D217" s="31" t="s">
        <v>354</v>
      </c>
      <c r="E217" s="41" t="s">
        <v>2533</v>
      </c>
      <c r="F217" s="41" t="s">
        <v>1268</v>
      </c>
      <c r="G217" s="59"/>
      <c r="H217" s="58" t="s">
        <v>2167</v>
      </c>
    </row>
    <row r="218" spans="1:8" ht="19.5" hidden="1" customHeight="1" outlineLevel="1" x14ac:dyDescent="0.2">
      <c r="A218" s="26"/>
      <c r="B218" s="22">
        <v>207</v>
      </c>
      <c r="C218" s="31" t="s">
        <v>2534</v>
      </c>
      <c r="D218" s="31" t="s">
        <v>2535</v>
      </c>
      <c r="E218" s="28" t="s">
        <v>2536</v>
      </c>
      <c r="F218" s="28" t="s">
        <v>1245</v>
      </c>
      <c r="G218" s="29"/>
      <c r="H218" s="58" t="s">
        <v>2168</v>
      </c>
    </row>
    <row r="219" spans="1:8" ht="19.5" hidden="1" customHeight="1" outlineLevel="1" x14ac:dyDescent="0.2">
      <c r="A219" s="26"/>
      <c r="B219" s="22">
        <v>208</v>
      </c>
      <c r="C219" s="31" t="s">
        <v>293</v>
      </c>
      <c r="D219" s="31" t="s">
        <v>240</v>
      </c>
      <c r="E219" s="28" t="s">
        <v>897</v>
      </c>
      <c r="F219" s="28" t="s">
        <v>1269</v>
      </c>
      <c r="G219" s="29"/>
      <c r="H219" s="58" t="s">
        <v>2169</v>
      </c>
    </row>
    <row r="220" spans="1:8" ht="19.5" hidden="1" customHeight="1" outlineLevel="1" x14ac:dyDescent="0.2">
      <c r="A220" s="26"/>
      <c r="B220" s="22">
        <v>209</v>
      </c>
      <c r="C220" s="31" t="s">
        <v>294</v>
      </c>
      <c r="D220" s="31" t="s">
        <v>241</v>
      </c>
      <c r="E220" s="28" t="s">
        <v>898</v>
      </c>
      <c r="F220" s="28" t="s">
        <v>1270</v>
      </c>
      <c r="G220" s="29"/>
      <c r="H220" s="58" t="s">
        <v>2170</v>
      </c>
    </row>
    <row r="221" spans="1:8" ht="19.5" hidden="1" customHeight="1" outlineLevel="1" x14ac:dyDescent="0.2">
      <c r="A221" s="26" t="s">
        <v>602</v>
      </c>
      <c r="B221" s="22">
        <v>210</v>
      </c>
      <c r="C221" s="32" t="s">
        <v>2537</v>
      </c>
      <c r="D221" s="32" t="s">
        <v>613</v>
      </c>
      <c r="E221" s="28" t="s">
        <v>2538</v>
      </c>
      <c r="F221" s="28" t="s">
        <v>1271</v>
      </c>
      <c r="G221" s="29"/>
      <c r="H221" s="58" t="s">
        <v>2171</v>
      </c>
    </row>
    <row r="222" spans="1:8" ht="19.5" hidden="1" customHeight="1" outlineLevel="1" x14ac:dyDescent="0.2">
      <c r="A222" s="26" t="s">
        <v>683</v>
      </c>
      <c r="B222" s="22">
        <v>211</v>
      </c>
      <c r="C222" s="31" t="s">
        <v>217</v>
      </c>
      <c r="D222" s="32" t="s">
        <v>712</v>
      </c>
      <c r="E222" s="28" t="s">
        <v>2539</v>
      </c>
      <c r="F222" s="28" t="s">
        <v>1272</v>
      </c>
      <c r="G222" s="29"/>
      <c r="H222" s="58" t="s">
        <v>2172</v>
      </c>
    </row>
    <row r="223" spans="1:8" ht="19.5" hidden="1" customHeight="1" outlineLevel="1" x14ac:dyDescent="0.2">
      <c r="A223" s="26" t="s">
        <v>683</v>
      </c>
      <c r="B223" s="22">
        <v>212</v>
      </c>
      <c r="C223" s="31" t="s">
        <v>219</v>
      </c>
      <c r="D223" s="32" t="s">
        <v>713</v>
      </c>
      <c r="E223" s="28" t="s">
        <v>2540</v>
      </c>
      <c r="F223" s="28" t="s">
        <v>1273</v>
      </c>
      <c r="G223" s="29"/>
      <c r="H223" s="58" t="s">
        <v>2173</v>
      </c>
    </row>
    <row r="224" spans="1:8" ht="19.5" hidden="1" customHeight="1" outlineLevel="1" x14ac:dyDescent="0.2">
      <c r="A224" s="26"/>
      <c r="B224" s="22">
        <v>213</v>
      </c>
      <c r="C224" s="31" t="s">
        <v>318</v>
      </c>
      <c r="D224" s="31" t="s">
        <v>320</v>
      </c>
      <c r="E224" s="28" t="s">
        <v>2541</v>
      </c>
      <c r="F224" s="28" t="s">
        <v>1274</v>
      </c>
      <c r="G224" s="29"/>
      <c r="H224" s="58" t="s">
        <v>2174</v>
      </c>
    </row>
    <row r="225" spans="1:8" ht="19.5" hidden="1" customHeight="1" outlineLevel="1" x14ac:dyDescent="0.2">
      <c r="A225" s="26"/>
      <c r="B225" s="22">
        <v>214</v>
      </c>
      <c r="C225" s="31" t="s">
        <v>319</v>
      </c>
      <c r="D225" s="31" t="s">
        <v>321</v>
      </c>
      <c r="E225" s="28" t="s">
        <v>899</v>
      </c>
      <c r="F225" s="28" t="s">
        <v>1275</v>
      </c>
      <c r="G225" s="29"/>
      <c r="H225" s="58" t="s">
        <v>2175</v>
      </c>
    </row>
    <row r="226" spans="1:8" ht="19.5" hidden="1" customHeight="1" outlineLevel="1" x14ac:dyDescent="0.2">
      <c r="A226" s="52"/>
      <c r="B226" s="22">
        <v>215</v>
      </c>
      <c r="C226" s="31" t="s">
        <v>322</v>
      </c>
      <c r="D226" s="31" t="s">
        <v>323</v>
      </c>
      <c r="E226" s="28" t="s">
        <v>900</v>
      </c>
      <c r="F226" s="28" t="s">
        <v>1276</v>
      </c>
      <c r="G226" s="29"/>
      <c r="H226" s="58" t="s">
        <v>2176</v>
      </c>
    </row>
    <row r="227" spans="1:8" ht="19.5" hidden="1" customHeight="1" outlineLevel="1" x14ac:dyDescent="0.2">
      <c r="A227" s="52" t="s">
        <v>683</v>
      </c>
      <c r="B227" s="22">
        <v>216</v>
      </c>
      <c r="C227" s="31" t="s">
        <v>220</v>
      </c>
      <c r="D227" s="32" t="s">
        <v>714</v>
      </c>
      <c r="E227" s="28" t="s">
        <v>2542</v>
      </c>
      <c r="F227" s="28" t="s">
        <v>1277</v>
      </c>
      <c r="G227" s="29"/>
      <c r="H227" s="58" t="s">
        <v>2177</v>
      </c>
    </row>
    <row r="228" spans="1:8" ht="19.5" hidden="1" customHeight="1" outlineLevel="1" x14ac:dyDescent="0.2">
      <c r="A228" s="52"/>
      <c r="B228" s="22">
        <v>217</v>
      </c>
      <c r="C228" s="31" t="s">
        <v>221</v>
      </c>
      <c r="D228" s="31" t="s">
        <v>242</v>
      </c>
      <c r="E228" s="28" t="s">
        <v>2543</v>
      </c>
      <c r="F228" s="28" t="s">
        <v>1278</v>
      </c>
      <c r="G228" s="59"/>
      <c r="H228" s="58" t="s">
        <v>2178</v>
      </c>
    </row>
    <row r="229" spans="1:8" ht="19.5" hidden="1" customHeight="1" outlineLevel="1" x14ac:dyDescent="0.2">
      <c r="A229" s="52"/>
      <c r="B229" s="22">
        <v>218</v>
      </c>
      <c r="C229" s="28" t="s">
        <v>8</v>
      </c>
      <c r="D229" s="28" t="s">
        <v>243</v>
      </c>
      <c r="E229" s="28" t="s">
        <v>2544</v>
      </c>
      <c r="F229" s="28" t="s">
        <v>1279</v>
      </c>
      <c r="G229" s="59"/>
      <c r="H229" s="58" t="s">
        <v>2179</v>
      </c>
    </row>
    <row r="230" spans="1:8" ht="19.5" hidden="1" customHeight="1" outlineLevel="1" x14ac:dyDescent="0.2">
      <c r="A230" s="52" t="s">
        <v>683</v>
      </c>
      <c r="B230" s="22">
        <v>219</v>
      </c>
      <c r="C230" s="31" t="s">
        <v>296</v>
      </c>
      <c r="D230" s="32" t="s">
        <v>715</v>
      </c>
      <c r="E230" s="28" t="s">
        <v>2545</v>
      </c>
      <c r="F230" s="28" t="s">
        <v>1280</v>
      </c>
      <c r="G230" s="59"/>
      <c r="H230" s="58" t="s">
        <v>2180</v>
      </c>
    </row>
    <row r="231" spans="1:8" ht="19.5" hidden="1" customHeight="1" outlineLevel="1" x14ac:dyDescent="0.2">
      <c r="A231" s="52"/>
      <c r="B231" s="22">
        <v>220</v>
      </c>
      <c r="C231" s="31" t="s">
        <v>6</v>
      </c>
      <c r="D231" s="31" t="s">
        <v>244</v>
      </c>
      <c r="E231" s="28" t="s">
        <v>2546</v>
      </c>
      <c r="F231" s="28" t="s">
        <v>1281</v>
      </c>
      <c r="G231" s="29"/>
      <c r="H231" s="58" t="s">
        <v>2181</v>
      </c>
    </row>
    <row r="232" spans="1:8" ht="19.5" hidden="1" customHeight="1" outlineLevel="1" x14ac:dyDescent="0.2">
      <c r="A232" s="52" t="s">
        <v>683</v>
      </c>
      <c r="B232" s="22">
        <v>221</v>
      </c>
      <c r="C232" s="31" t="s">
        <v>9</v>
      </c>
      <c r="D232" s="32" t="s">
        <v>716</v>
      </c>
      <c r="E232" s="28" t="s">
        <v>2547</v>
      </c>
      <c r="F232" s="28" t="s">
        <v>1282</v>
      </c>
      <c r="G232" s="29"/>
      <c r="H232" s="58" t="s">
        <v>2182</v>
      </c>
    </row>
    <row r="233" spans="1:8" ht="19.5" hidden="1" customHeight="1" outlineLevel="1" x14ac:dyDescent="0.2">
      <c r="A233" s="52" t="s">
        <v>683</v>
      </c>
      <c r="B233" s="22">
        <v>222</v>
      </c>
      <c r="C233" s="31" t="s">
        <v>10</v>
      </c>
      <c r="D233" s="32" t="s">
        <v>717</v>
      </c>
      <c r="E233" s="28" t="s">
        <v>2548</v>
      </c>
      <c r="F233" s="28" t="s">
        <v>1283</v>
      </c>
      <c r="G233" s="29"/>
      <c r="H233" s="58" t="s">
        <v>2183</v>
      </c>
    </row>
    <row r="234" spans="1:8" ht="19.5" hidden="1" customHeight="1" outlineLevel="1" x14ac:dyDescent="0.2">
      <c r="A234" s="52"/>
      <c r="B234" s="22">
        <v>223</v>
      </c>
      <c r="C234" s="31" t="s">
        <v>78</v>
      </c>
      <c r="D234" s="31" t="s">
        <v>245</v>
      </c>
      <c r="E234" s="28" t="s">
        <v>901</v>
      </c>
      <c r="F234" s="28" t="s">
        <v>1284</v>
      </c>
      <c r="G234" s="29"/>
      <c r="H234" s="58" t="s">
        <v>2184</v>
      </c>
    </row>
    <row r="235" spans="1:8" ht="19.5" hidden="1" customHeight="1" outlineLevel="1" x14ac:dyDescent="0.2">
      <c r="A235" s="52" t="s">
        <v>683</v>
      </c>
      <c r="B235" s="22">
        <v>224</v>
      </c>
      <c r="C235" s="28" t="s">
        <v>79</v>
      </c>
      <c r="D235" s="30" t="s">
        <v>718</v>
      </c>
      <c r="E235" s="28" t="s">
        <v>2549</v>
      </c>
      <c r="F235" s="28" t="s">
        <v>1285</v>
      </c>
      <c r="G235" s="29"/>
      <c r="H235" s="58" t="s">
        <v>2185</v>
      </c>
    </row>
    <row r="236" spans="1:8" ht="19.5" hidden="1" customHeight="1" outlineLevel="1" x14ac:dyDescent="0.2">
      <c r="A236" s="52" t="s">
        <v>683</v>
      </c>
      <c r="B236" s="22">
        <v>225</v>
      </c>
      <c r="C236" s="28" t="s">
        <v>342</v>
      </c>
      <c r="D236" s="30" t="s">
        <v>719</v>
      </c>
      <c r="E236" s="28" t="s">
        <v>902</v>
      </c>
      <c r="F236" s="28" t="s">
        <v>1286</v>
      </c>
      <c r="G236" s="29"/>
      <c r="H236" s="58" t="s">
        <v>2186</v>
      </c>
    </row>
    <row r="237" spans="1:8" ht="19.5" hidden="1" customHeight="1" outlineLevel="1" x14ac:dyDescent="0.2">
      <c r="A237" s="52"/>
      <c r="B237" s="22">
        <v>226</v>
      </c>
      <c r="C237" s="28" t="s">
        <v>473</v>
      </c>
      <c r="D237" s="28" t="s">
        <v>343</v>
      </c>
      <c r="E237" s="28" t="s">
        <v>903</v>
      </c>
      <c r="F237" s="28" t="s">
        <v>1287</v>
      </c>
      <c r="G237" s="29"/>
      <c r="H237" s="58" t="s">
        <v>2187</v>
      </c>
    </row>
    <row r="238" spans="1:8" ht="19.5" hidden="1" customHeight="1" outlineLevel="1" x14ac:dyDescent="0.2">
      <c r="A238" s="52" t="s">
        <v>683</v>
      </c>
      <c r="B238" s="22">
        <v>227</v>
      </c>
      <c r="C238" s="28" t="s">
        <v>344</v>
      </c>
      <c r="D238" s="30" t="s">
        <v>720</v>
      </c>
      <c r="E238" s="28" t="s">
        <v>2550</v>
      </c>
      <c r="F238" s="28" t="s">
        <v>1288</v>
      </c>
      <c r="G238" s="59"/>
      <c r="H238" s="58" t="s">
        <v>2188</v>
      </c>
    </row>
    <row r="239" spans="1:8" ht="19.5" hidden="1" customHeight="1" outlineLevel="1" x14ac:dyDescent="0.2">
      <c r="A239" s="52" t="s">
        <v>683</v>
      </c>
      <c r="B239" s="22">
        <v>228</v>
      </c>
      <c r="C239" s="31" t="s">
        <v>345</v>
      </c>
      <c r="D239" s="32" t="s">
        <v>721</v>
      </c>
      <c r="E239" s="28" t="s">
        <v>2551</v>
      </c>
      <c r="F239" s="28" t="s">
        <v>1289</v>
      </c>
      <c r="G239" s="29"/>
      <c r="H239" s="58" t="s">
        <v>2189</v>
      </c>
    </row>
    <row r="240" spans="1:8" ht="19.5" hidden="1" customHeight="1" outlineLevel="1" x14ac:dyDescent="0.2">
      <c r="A240" s="52"/>
      <c r="B240" s="22">
        <v>229</v>
      </c>
      <c r="C240" s="31" t="s">
        <v>346</v>
      </c>
      <c r="D240" s="31" t="s">
        <v>347</v>
      </c>
      <c r="E240" s="28" t="s">
        <v>2552</v>
      </c>
      <c r="F240" s="28" t="s">
        <v>1290</v>
      </c>
      <c r="G240" s="29"/>
      <c r="H240" s="58" t="s">
        <v>2190</v>
      </c>
    </row>
    <row r="241" spans="1:8" ht="19.5" hidden="1" customHeight="1" outlineLevel="1" x14ac:dyDescent="0.2">
      <c r="A241" s="52" t="s">
        <v>683</v>
      </c>
      <c r="B241" s="22">
        <v>230</v>
      </c>
      <c r="C241" s="28" t="s">
        <v>239</v>
      </c>
      <c r="D241" s="30" t="s">
        <v>722</v>
      </c>
      <c r="E241" s="28" t="s">
        <v>2553</v>
      </c>
      <c r="F241" s="28" t="s">
        <v>1291</v>
      </c>
      <c r="G241" s="29"/>
      <c r="H241" s="58" t="s">
        <v>2191</v>
      </c>
    </row>
    <row r="242" spans="1:8" ht="19.5" hidden="1" customHeight="1" outlineLevel="1" x14ac:dyDescent="0.2">
      <c r="A242" s="52"/>
      <c r="B242" s="22">
        <v>231</v>
      </c>
      <c r="C242" s="31" t="s">
        <v>603</v>
      </c>
      <c r="D242" s="31" t="s">
        <v>603</v>
      </c>
      <c r="E242" s="28" t="s">
        <v>904</v>
      </c>
      <c r="F242" s="28" t="s">
        <v>1292</v>
      </c>
      <c r="G242" s="28"/>
      <c r="H242" s="58" t="s">
        <v>2192</v>
      </c>
    </row>
    <row r="243" spans="1:8" ht="57" hidden="1" customHeight="1" outlineLevel="1" x14ac:dyDescent="0.2">
      <c r="A243" s="640" t="s">
        <v>1705</v>
      </c>
      <c r="B243" s="641">
        <v>232</v>
      </c>
      <c r="C243" s="591" t="s">
        <v>1706</v>
      </c>
      <c r="D243" s="591" t="s">
        <v>1707</v>
      </c>
      <c r="E243" s="28" t="s">
        <v>2554</v>
      </c>
      <c r="F243" s="28" t="s">
        <v>2555</v>
      </c>
      <c r="G243" s="28"/>
      <c r="H243" s="58" t="s">
        <v>2096</v>
      </c>
    </row>
    <row r="244" spans="1:8" ht="19.5" hidden="1" customHeight="1" outlineLevel="1" x14ac:dyDescent="0.2">
      <c r="A244" s="640" t="s">
        <v>1705</v>
      </c>
      <c r="B244" s="641">
        <v>233</v>
      </c>
      <c r="C244" s="591" t="s">
        <v>1708</v>
      </c>
      <c r="D244" s="591" t="s">
        <v>1709</v>
      </c>
      <c r="E244" s="28" t="s">
        <v>2556</v>
      </c>
      <c r="F244" s="28" t="s">
        <v>2557</v>
      </c>
      <c r="G244" s="28"/>
      <c r="H244" s="58" t="s">
        <v>2097</v>
      </c>
    </row>
    <row r="245" spans="1:8" ht="19.5" hidden="1" customHeight="1" outlineLevel="1" x14ac:dyDescent="0.2">
      <c r="A245" s="640" t="s">
        <v>1705</v>
      </c>
      <c r="B245" s="641">
        <v>234</v>
      </c>
      <c r="C245" s="591" t="s">
        <v>1710</v>
      </c>
      <c r="D245" s="591" t="s">
        <v>1710</v>
      </c>
      <c r="E245" s="28" t="s">
        <v>2558</v>
      </c>
      <c r="F245" s="28" t="s">
        <v>2559</v>
      </c>
      <c r="G245" s="28"/>
      <c r="H245" s="58" t="s">
        <v>2098</v>
      </c>
    </row>
    <row r="246" spans="1:8" ht="19.5" hidden="1" customHeight="1" outlineLevel="1" x14ac:dyDescent="0.2">
      <c r="A246" s="640" t="s">
        <v>1705</v>
      </c>
      <c r="B246" s="641">
        <v>235</v>
      </c>
      <c r="C246" s="591" t="s">
        <v>1711</v>
      </c>
      <c r="D246" s="591" t="s">
        <v>1712</v>
      </c>
      <c r="E246" s="28" t="s">
        <v>895</v>
      </c>
      <c r="F246" s="28" t="s">
        <v>2560</v>
      </c>
      <c r="G246" s="29"/>
      <c r="H246" s="58" t="s">
        <v>2099</v>
      </c>
    </row>
    <row r="247" spans="1:8" ht="19.5" hidden="1" customHeight="1" outlineLevel="1" x14ac:dyDescent="0.2">
      <c r="A247" s="640" t="s">
        <v>1705</v>
      </c>
      <c r="B247" s="641">
        <v>236</v>
      </c>
      <c r="C247" s="591" t="s">
        <v>1713</v>
      </c>
      <c r="D247" s="591" t="s">
        <v>1714</v>
      </c>
      <c r="E247" s="28" t="s">
        <v>2561</v>
      </c>
      <c r="F247" s="28" t="s">
        <v>2562</v>
      </c>
      <c r="G247" s="29"/>
      <c r="H247" s="58" t="s">
        <v>2100</v>
      </c>
    </row>
    <row r="248" spans="1:8" ht="69" hidden="1" customHeight="1" outlineLevel="1" x14ac:dyDescent="0.2">
      <c r="A248" s="640" t="s">
        <v>1705</v>
      </c>
      <c r="B248" s="641">
        <v>237</v>
      </c>
      <c r="C248" s="591" t="s">
        <v>1715</v>
      </c>
      <c r="D248" s="591" t="s">
        <v>1716</v>
      </c>
      <c r="E248" s="28" t="s">
        <v>2563</v>
      </c>
      <c r="F248" s="28" t="s">
        <v>2564</v>
      </c>
      <c r="G248" s="29"/>
      <c r="H248" s="58" t="s">
        <v>2101</v>
      </c>
    </row>
    <row r="249" spans="1:8" ht="120.6" hidden="1" customHeight="1" outlineLevel="1" x14ac:dyDescent="0.2">
      <c r="A249" s="640" t="s">
        <v>1705</v>
      </c>
      <c r="B249" s="641">
        <v>238</v>
      </c>
      <c r="C249" s="591" t="s">
        <v>1717</v>
      </c>
      <c r="D249" s="591" t="s">
        <v>1718</v>
      </c>
      <c r="E249" s="28" t="s">
        <v>2565</v>
      </c>
      <c r="F249" s="28" t="s">
        <v>2566</v>
      </c>
      <c r="G249" s="29"/>
      <c r="H249" s="58" t="s">
        <v>2102</v>
      </c>
    </row>
    <row r="250" spans="1:8" ht="75" hidden="1" customHeight="1" outlineLevel="1" x14ac:dyDescent="0.2">
      <c r="A250" s="640" t="s">
        <v>1705</v>
      </c>
      <c r="B250" s="641">
        <v>239</v>
      </c>
      <c r="C250" s="591" t="s">
        <v>1719</v>
      </c>
      <c r="D250" s="591" t="s">
        <v>1720</v>
      </c>
      <c r="E250" s="28" t="s">
        <v>2567</v>
      </c>
      <c r="F250" s="28" t="s">
        <v>2568</v>
      </c>
      <c r="G250" s="29"/>
      <c r="H250" s="58" t="s">
        <v>2103</v>
      </c>
    </row>
    <row r="251" spans="1:8" ht="19.5" hidden="1" customHeight="1" outlineLevel="1" x14ac:dyDescent="0.2">
      <c r="A251" s="52"/>
      <c r="B251" s="22">
        <v>240</v>
      </c>
      <c r="C251" s="31" t="s">
        <v>228</v>
      </c>
      <c r="D251" s="31" t="s">
        <v>231</v>
      </c>
      <c r="E251" s="28" t="s">
        <v>905</v>
      </c>
      <c r="F251" s="28" t="s">
        <v>1293</v>
      </c>
      <c r="G251" s="28"/>
      <c r="H251" s="58" t="s">
        <v>2104</v>
      </c>
    </row>
    <row r="252" spans="1:8" ht="19.5" hidden="1" customHeight="1" outlineLevel="1" x14ac:dyDescent="0.2">
      <c r="A252" s="52"/>
      <c r="B252" s="22">
        <v>241</v>
      </c>
      <c r="C252" s="31" t="s">
        <v>227</v>
      </c>
      <c r="D252" s="31" t="s">
        <v>232</v>
      </c>
      <c r="E252" s="28" t="s">
        <v>906</v>
      </c>
      <c r="F252" s="28" t="s">
        <v>1294</v>
      </c>
      <c r="G252" s="28"/>
      <c r="H252" s="58" t="s">
        <v>2105</v>
      </c>
    </row>
    <row r="253" spans="1:8" ht="19.5" hidden="1" customHeight="1" outlineLevel="1" x14ac:dyDescent="0.2">
      <c r="A253" s="52"/>
      <c r="B253" s="22">
        <v>242</v>
      </c>
      <c r="C253" s="31" t="s">
        <v>229</v>
      </c>
      <c r="D253" s="31" t="s">
        <v>233</v>
      </c>
      <c r="E253" s="28" t="s">
        <v>907</v>
      </c>
      <c r="F253" s="28" t="s">
        <v>1295</v>
      </c>
      <c r="G253" s="28"/>
      <c r="H253" s="58" t="s">
        <v>2106</v>
      </c>
    </row>
    <row r="254" spans="1:8" ht="19.5" hidden="1" customHeight="1" outlineLevel="1" x14ac:dyDescent="0.2">
      <c r="A254" s="52" t="s">
        <v>683</v>
      </c>
      <c r="B254" s="22">
        <v>243</v>
      </c>
      <c r="C254" s="31" t="s">
        <v>230</v>
      </c>
      <c r="D254" s="31" t="s">
        <v>723</v>
      </c>
      <c r="E254" s="28" t="s">
        <v>908</v>
      </c>
      <c r="F254" s="28" t="s">
        <v>1296</v>
      </c>
      <c r="G254" s="28"/>
      <c r="H254" s="58" t="s">
        <v>2107</v>
      </c>
    </row>
    <row r="255" spans="1:8" ht="19.5" hidden="1" customHeight="1" outlineLevel="1" x14ac:dyDescent="0.2">
      <c r="A255" s="52" t="s">
        <v>2765</v>
      </c>
      <c r="B255" s="22">
        <v>244</v>
      </c>
      <c r="C255" s="31" t="s">
        <v>2763</v>
      </c>
      <c r="D255" s="31" t="s">
        <v>2764</v>
      </c>
      <c r="E255" s="28" t="s">
        <v>2806</v>
      </c>
      <c r="F255" s="28" t="s">
        <v>2807</v>
      </c>
      <c r="G255" s="28"/>
      <c r="H255" s="58" t="s">
        <v>2108</v>
      </c>
    </row>
    <row r="256" spans="1:8" ht="28.5" hidden="1" customHeight="1" outlineLevel="1" x14ac:dyDescent="0.2">
      <c r="A256" s="758" t="s">
        <v>2852</v>
      </c>
      <c r="B256" s="22">
        <v>245</v>
      </c>
      <c r="C256" s="28" t="s">
        <v>2859</v>
      </c>
      <c r="D256" s="28" t="s">
        <v>2861</v>
      </c>
      <c r="E256" s="28" t="s">
        <v>2860</v>
      </c>
      <c r="F256" s="28" t="s">
        <v>2862</v>
      </c>
      <c r="G256" s="28"/>
      <c r="H256" s="58" t="s">
        <v>2109</v>
      </c>
    </row>
    <row r="257" spans="1:8" ht="19.5" hidden="1" customHeight="1" outlineLevel="1" x14ac:dyDescent="0.2">
      <c r="A257" s="60" t="s">
        <v>1540</v>
      </c>
      <c r="B257" s="22">
        <v>246</v>
      </c>
      <c r="C257" s="29" t="s">
        <v>1479</v>
      </c>
      <c r="D257" s="28" t="s">
        <v>1480</v>
      </c>
      <c r="E257" s="28" t="s">
        <v>2459</v>
      </c>
      <c r="F257" s="28" t="s">
        <v>2569</v>
      </c>
      <c r="G257" s="28"/>
      <c r="H257" s="58" t="s">
        <v>2110</v>
      </c>
    </row>
    <row r="258" spans="1:8" ht="19.5" hidden="1" customHeight="1" outlineLevel="1" x14ac:dyDescent="0.2">
      <c r="A258" s="60" t="s">
        <v>1540</v>
      </c>
      <c r="B258" s="22">
        <v>247</v>
      </c>
      <c r="C258" s="29" t="s">
        <v>1469</v>
      </c>
      <c r="D258" s="28" t="s">
        <v>1470</v>
      </c>
      <c r="E258" s="28" t="s">
        <v>2570</v>
      </c>
      <c r="F258" s="28" t="s">
        <v>2571</v>
      </c>
      <c r="G258" s="28"/>
      <c r="H258" s="58" t="s">
        <v>2111</v>
      </c>
    </row>
    <row r="259" spans="1:8" ht="19.5" hidden="1" customHeight="1" outlineLevel="1" x14ac:dyDescent="0.2">
      <c r="A259" s="60" t="s">
        <v>1540</v>
      </c>
      <c r="B259" s="22">
        <v>248</v>
      </c>
      <c r="C259" s="29" t="s">
        <v>1472</v>
      </c>
      <c r="D259" s="38" t="s">
        <v>1471</v>
      </c>
      <c r="E259" s="28" t="s">
        <v>2572</v>
      </c>
      <c r="F259" s="28" t="s">
        <v>2573</v>
      </c>
      <c r="G259" s="28"/>
      <c r="H259" s="58" t="s">
        <v>2112</v>
      </c>
    </row>
    <row r="260" spans="1:8" ht="19.5" hidden="1" customHeight="1" outlineLevel="1" x14ac:dyDescent="0.2">
      <c r="A260" s="60" t="s">
        <v>1540</v>
      </c>
      <c r="B260" s="22">
        <v>249</v>
      </c>
      <c r="C260" s="29" t="s">
        <v>1473</v>
      </c>
      <c r="D260" s="29" t="s">
        <v>1474</v>
      </c>
      <c r="E260" s="28" t="s">
        <v>2574</v>
      </c>
      <c r="F260" s="28" t="s">
        <v>2575</v>
      </c>
      <c r="G260" s="28"/>
      <c r="H260" s="58" t="s">
        <v>2113</v>
      </c>
    </row>
    <row r="261" spans="1:8" ht="19.5" hidden="1" customHeight="1" outlineLevel="1" x14ac:dyDescent="0.2">
      <c r="A261" s="60" t="s">
        <v>1540</v>
      </c>
      <c r="B261" s="22">
        <v>250</v>
      </c>
      <c r="C261" s="61" t="s">
        <v>1477</v>
      </c>
      <c r="D261" s="61" t="s">
        <v>1476</v>
      </c>
      <c r="E261" s="28" t="s">
        <v>2576</v>
      </c>
      <c r="F261" s="28" t="s">
        <v>2577</v>
      </c>
      <c r="G261" s="61"/>
      <c r="H261" s="58" t="s">
        <v>2114</v>
      </c>
    </row>
    <row r="262" spans="1:8" ht="19.5" hidden="1" customHeight="1" outlineLevel="1" x14ac:dyDescent="0.2">
      <c r="A262" s="60" t="s">
        <v>1540</v>
      </c>
      <c r="B262" s="22">
        <v>251</v>
      </c>
      <c r="C262" s="61" t="s">
        <v>1478</v>
      </c>
      <c r="D262" s="61" t="s">
        <v>1475</v>
      </c>
      <c r="E262" s="28" t="s">
        <v>2578</v>
      </c>
      <c r="F262" s="28" t="s">
        <v>2579</v>
      </c>
      <c r="G262" s="61"/>
      <c r="H262" s="58" t="s">
        <v>2115</v>
      </c>
    </row>
    <row r="263" spans="1:8" ht="19.5" hidden="1" customHeight="1" outlineLevel="1" x14ac:dyDescent="0.2">
      <c r="A263" s="60" t="s">
        <v>1540</v>
      </c>
      <c r="B263" s="22">
        <v>252</v>
      </c>
      <c r="C263" s="61" t="s">
        <v>1481</v>
      </c>
      <c r="D263" s="61" t="s">
        <v>1482</v>
      </c>
      <c r="E263" s="28" t="s">
        <v>2580</v>
      </c>
      <c r="F263" s="28" t="s">
        <v>2581</v>
      </c>
      <c r="G263" s="61"/>
      <c r="H263" s="58" t="s">
        <v>2116</v>
      </c>
    </row>
    <row r="264" spans="1:8" ht="19.5" hidden="1" customHeight="1" outlineLevel="1" x14ac:dyDescent="0.2">
      <c r="A264" s="60" t="s">
        <v>1540</v>
      </c>
      <c r="B264" s="22">
        <v>253</v>
      </c>
      <c r="C264" s="29" t="s">
        <v>1549</v>
      </c>
      <c r="D264" s="28" t="s">
        <v>1550</v>
      </c>
      <c r="E264" s="28" t="s">
        <v>2582</v>
      </c>
      <c r="F264" s="28" t="s">
        <v>2583</v>
      </c>
      <c r="G264" s="28"/>
      <c r="H264" s="58" t="s">
        <v>2117</v>
      </c>
    </row>
    <row r="265" spans="1:8" ht="19.5" hidden="1" customHeight="1" outlineLevel="1" x14ac:dyDescent="0.2">
      <c r="A265" s="60" t="s">
        <v>1540</v>
      </c>
      <c r="B265" s="22">
        <v>254</v>
      </c>
      <c r="C265" s="33" t="s">
        <v>1498</v>
      </c>
      <c r="D265" s="28" t="s">
        <v>1499</v>
      </c>
      <c r="E265" s="28" t="s">
        <v>2584</v>
      </c>
      <c r="F265" s="28" t="s">
        <v>2585</v>
      </c>
      <c r="G265" s="29"/>
      <c r="H265" s="58" t="s">
        <v>2118</v>
      </c>
    </row>
    <row r="266" spans="1:8" ht="19.5" hidden="1" customHeight="1" outlineLevel="1" x14ac:dyDescent="0.2">
      <c r="A266" s="60" t="s">
        <v>1540</v>
      </c>
      <c r="B266" s="22">
        <v>255</v>
      </c>
      <c r="C266" s="33" t="s">
        <v>1551</v>
      </c>
      <c r="D266" s="33" t="s">
        <v>1688</v>
      </c>
      <c r="E266" s="28" t="s">
        <v>2586</v>
      </c>
      <c r="F266" s="28" t="s">
        <v>1133</v>
      </c>
      <c r="G266" s="33"/>
      <c r="H266" s="58" t="s">
        <v>2119</v>
      </c>
    </row>
    <row r="267" spans="1:8" ht="19.5" hidden="1" customHeight="1" outlineLevel="1" x14ac:dyDescent="0.2">
      <c r="A267" s="60" t="s">
        <v>1540</v>
      </c>
      <c r="B267" s="22">
        <v>256</v>
      </c>
      <c r="C267" s="33" t="s">
        <v>1503</v>
      </c>
      <c r="D267" s="33" t="s">
        <v>1503</v>
      </c>
      <c r="E267" s="28" t="s">
        <v>2587</v>
      </c>
      <c r="F267" s="28" t="s">
        <v>1503</v>
      </c>
      <c r="G267" s="33"/>
      <c r="H267" s="58" t="s">
        <v>2120</v>
      </c>
    </row>
    <row r="268" spans="1:8" ht="19.5" hidden="1" customHeight="1" outlineLevel="1" x14ac:dyDescent="0.2">
      <c r="A268" s="60" t="s">
        <v>1540</v>
      </c>
      <c r="B268" s="22">
        <v>257</v>
      </c>
      <c r="C268" s="33" t="s">
        <v>1505</v>
      </c>
      <c r="D268" s="33" t="s">
        <v>1504</v>
      </c>
      <c r="E268" s="28" t="s">
        <v>2588</v>
      </c>
      <c r="F268" s="28" t="s">
        <v>2589</v>
      </c>
      <c r="G268" s="33"/>
      <c r="H268" s="58" t="s">
        <v>2121</v>
      </c>
    </row>
    <row r="269" spans="1:8" ht="19.5" hidden="1" customHeight="1" outlineLevel="1" x14ac:dyDescent="0.2">
      <c r="A269" s="60" t="s">
        <v>1540</v>
      </c>
      <c r="B269" s="22">
        <v>258</v>
      </c>
      <c r="C269" s="29" t="s">
        <v>1507</v>
      </c>
      <c r="D269" s="28" t="s">
        <v>1506</v>
      </c>
      <c r="E269" s="28" t="s">
        <v>2590</v>
      </c>
      <c r="F269" s="28" t="s">
        <v>2591</v>
      </c>
      <c r="G269" s="28"/>
      <c r="H269" s="58" t="s">
        <v>2122</v>
      </c>
    </row>
    <row r="270" spans="1:8" ht="19.5" hidden="1" customHeight="1" outlineLevel="1" x14ac:dyDescent="0.2">
      <c r="A270" s="60" t="s">
        <v>1540</v>
      </c>
      <c r="B270" s="22">
        <v>259</v>
      </c>
      <c r="C270" s="29" t="s">
        <v>1508</v>
      </c>
      <c r="D270" s="28" t="s">
        <v>1509</v>
      </c>
      <c r="E270" s="28" t="s">
        <v>2592</v>
      </c>
      <c r="F270" s="28" t="s">
        <v>2593</v>
      </c>
      <c r="G270" s="28"/>
      <c r="H270" s="58" t="s">
        <v>2123</v>
      </c>
    </row>
    <row r="271" spans="1:8" ht="19.5" hidden="1" customHeight="1" outlineLevel="1" x14ac:dyDescent="0.2">
      <c r="A271" s="60" t="s">
        <v>1540</v>
      </c>
      <c r="B271" s="22">
        <v>260</v>
      </c>
      <c r="C271" s="29" t="s">
        <v>1511</v>
      </c>
      <c r="D271" s="28" t="s">
        <v>1513</v>
      </c>
      <c r="E271" s="28" t="s">
        <v>2594</v>
      </c>
      <c r="F271" s="28" t="s">
        <v>2595</v>
      </c>
      <c r="G271" s="28"/>
      <c r="H271" s="58" t="s">
        <v>2124</v>
      </c>
    </row>
    <row r="272" spans="1:8" ht="19.5" hidden="1" customHeight="1" outlineLevel="1" x14ac:dyDescent="0.2">
      <c r="A272" s="60" t="s">
        <v>1540</v>
      </c>
      <c r="B272" s="22">
        <v>261</v>
      </c>
      <c r="C272" s="29" t="s">
        <v>1689</v>
      </c>
      <c r="D272" s="28" t="s">
        <v>1690</v>
      </c>
      <c r="E272" s="28" t="s">
        <v>2596</v>
      </c>
      <c r="F272" s="28" t="s">
        <v>2597</v>
      </c>
      <c r="G272" s="28"/>
      <c r="H272" s="58" t="s">
        <v>2125</v>
      </c>
    </row>
    <row r="273" spans="1:8" ht="19.5" hidden="1" customHeight="1" outlineLevel="1" x14ac:dyDescent="0.2">
      <c r="A273" s="60" t="s">
        <v>1540</v>
      </c>
      <c r="B273" s="22">
        <v>262</v>
      </c>
      <c r="C273" s="29" t="s">
        <v>1532</v>
      </c>
      <c r="D273" s="28" t="s">
        <v>1685</v>
      </c>
      <c r="E273" s="28" t="s">
        <v>2598</v>
      </c>
      <c r="F273" s="28" t="s">
        <v>2599</v>
      </c>
      <c r="G273" s="28"/>
      <c r="H273" s="58" t="s">
        <v>2126</v>
      </c>
    </row>
    <row r="274" spans="1:8" ht="19.5" hidden="1" customHeight="1" outlineLevel="1" x14ac:dyDescent="0.2">
      <c r="A274" s="60" t="s">
        <v>1540</v>
      </c>
      <c r="B274" s="22">
        <v>263</v>
      </c>
      <c r="C274" s="29" t="s">
        <v>1484</v>
      </c>
      <c r="D274" s="28" t="s">
        <v>1684</v>
      </c>
      <c r="E274" s="28" t="s">
        <v>2600</v>
      </c>
      <c r="F274" s="28" t="s">
        <v>2601</v>
      </c>
      <c r="G274" s="28"/>
      <c r="H274" s="58" t="s">
        <v>2127</v>
      </c>
    </row>
    <row r="275" spans="1:8" ht="19.5" hidden="1" customHeight="1" outlineLevel="1" x14ac:dyDescent="0.2">
      <c r="A275" s="60" t="s">
        <v>1540</v>
      </c>
      <c r="B275" s="22">
        <v>264</v>
      </c>
      <c r="C275" s="29" t="s">
        <v>1487</v>
      </c>
      <c r="D275" s="28" t="s">
        <v>1533</v>
      </c>
      <c r="E275" s="28" t="s">
        <v>2602</v>
      </c>
      <c r="F275" s="28" t="s">
        <v>1534</v>
      </c>
      <c r="G275" s="28"/>
      <c r="H275" s="58" t="s">
        <v>2128</v>
      </c>
    </row>
    <row r="276" spans="1:8" ht="19.5" hidden="1" customHeight="1" outlineLevel="1" x14ac:dyDescent="0.2">
      <c r="A276" s="60" t="s">
        <v>1540</v>
      </c>
      <c r="B276" s="22">
        <v>265</v>
      </c>
      <c r="C276" s="29" t="s">
        <v>1483</v>
      </c>
      <c r="D276" s="28" t="s">
        <v>1535</v>
      </c>
      <c r="E276" s="28" t="s">
        <v>2603</v>
      </c>
      <c r="F276" s="28" t="s">
        <v>2604</v>
      </c>
      <c r="G276" s="28"/>
      <c r="H276" s="58" t="s">
        <v>2129</v>
      </c>
    </row>
    <row r="277" spans="1:8" ht="33" hidden="1" customHeight="1" outlineLevel="1" x14ac:dyDescent="0.2">
      <c r="A277" s="60" t="s">
        <v>1540</v>
      </c>
      <c r="B277" s="22">
        <v>266</v>
      </c>
      <c r="C277" s="33" t="s">
        <v>1536</v>
      </c>
      <c r="D277" s="28" t="s">
        <v>1537</v>
      </c>
      <c r="E277" s="28" t="s">
        <v>2605</v>
      </c>
      <c r="F277" s="28" t="s">
        <v>2606</v>
      </c>
      <c r="G277" s="28"/>
      <c r="H277" s="58" t="s">
        <v>2130</v>
      </c>
    </row>
    <row r="278" spans="1:8" ht="19.5" hidden="1" customHeight="1" outlineLevel="1" x14ac:dyDescent="0.2">
      <c r="A278" s="60" t="s">
        <v>1540</v>
      </c>
      <c r="B278" s="22">
        <v>267</v>
      </c>
      <c r="C278" s="33" t="s">
        <v>1486</v>
      </c>
      <c r="D278" s="28" t="s">
        <v>1691</v>
      </c>
      <c r="E278" s="28" t="s">
        <v>2607</v>
      </c>
      <c r="F278" s="28" t="s">
        <v>2608</v>
      </c>
      <c r="G278" s="28"/>
      <c r="H278" s="58" t="s">
        <v>2131</v>
      </c>
    </row>
    <row r="279" spans="1:8" ht="19.5" hidden="1" customHeight="1" outlineLevel="1" x14ac:dyDescent="0.2">
      <c r="A279" s="60" t="s">
        <v>1540</v>
      </c>
      <c r="B279" s="22">
        <v>268</v>
      </c>
      <c r="C279" s="29" t="s">
        <v>1542</v>
      </c>
      <c r="D279" s="28" t="s">
        <v>1692</v>
      </c>
      <c r="E279" s="28" t="s">
        <v>2609</v>
      </c>
      <c r="F279" s="28" t="s">
        <v>2610</v>
      </c>
      <c r="G279" s="28"/>
      <c r="H279" s="58" t="s">
        <v>2132</v>
      </c>
    </row>
    <row r="280" spans="1:8" ht="19.5" hidden="1" customHeight="1" outlineLevel="1" x14ac:dyDescent="0.2">
      <c r="A280" s="60" t="s">
        <v>1540</v>
      </c>
      <c r="B280" s="22">
        <v>269</v>
      </c>
      <c r="C280" s="62" t="s">
        <v>1552</v>
      </c>
      <c r="D280" s="62" t="s">
        <v>1554</v>
      </c>
      <c r="E280" s="28" t="s">
        <v>2611</v>
      </c>
      <c r="F280" s="28" t="s">
        <v>2612</v>
      </c>
      <c r="G280" s="28"/>
      <c r="H280" s="58" t="s">
        <v>2133</v>
      </c>
    </row>
    <row r="281" spans="1:8" ht="19.5" hidden="1" customHeight="1" outlineLevel="1" x14ac:dyDescent="0.2">
      <c r="A281" s="60" t="s">
        <v>1540</v>
      </c>
      <c r="B281" s="22">
        <v>270</v>
      </c>
      <c r="C281" s="29" t="s">
        <v>1465</v>
      </c>
      <c r="D281" s="28" t="s">
        <v>1555</v>
      </c>
      <c r="E281" s="28" t="s">
        <v>2613</v>
      </c>
      <c r="F281" s="28" t="s">
        <v>2614</v>
      </c>
      <c r="G281" s="28"/>
      <c r="H281" s="58" t="s">
        <v>2134</v>
      </c>
    </row>
    <row r="282" spans="1:8" ht="19.5" hidden="1" customHeight="1" outlineLevel="1" x14ac:dyDescent="0.2">
      <c r="A282" s="60" t="s">
        <v>1540</v>
      </c>
      <c r="B282" s="22">
        <v>271</v>
      </c>
      <c r="C282" s="29" t="s">
        <v>1553</v>
      </c>
      <c r="D282" s="28" t="s">
        <v>1553</v>
      </c>
      <c r="E282" s="28" t="s">
        <v>2615</v>
      </c>
      <c r="F282" s="28" t="s">
        <v>2616</v>
      </c>
      <c r="G282" s="28"/>
      <c r="H282" s="58" t="s">
        <v>2135</v>
      </c>
    </row>
    <row r="283" spans="1:8" ht="19.5" hidden="1" customHeight="1" outlineLevel="1" x14ac:dyDescent="0.2">
      <c r="A283" s="60" t="s">
        <v>1540</v>
      </c>
      <c r="B283" s="22">
        <v>272</v>
      </c>
      <c r="C283" s="29" t="s">
        <v>680</v>
      </c>
      <c r="D283" s="28" t="s">
        <v>681</v>
      </c>
      <c r="E283" s="28" t="s">
        <v>866</v>
      </c>
      <c r="F283" s="28" t="s">
        <v>1205</v>
      </c>
      <c r="G283" s="28"/>
      <c r="H283" s="58" t="s">
        <v>2136</v>
      </c>
    </row>
    <row r="284" spans="1:8" ht="19.5" hidden="1" customHeight="1" outlineLevel="1" x14ac:dyDescent="0.2">
      <c r="A284" s="60" t="s">
        <v>1540</v>
      </c>
      <c r="B284" s="22">
        <v>273</v>
      </c>
      <c r="C284" s="29" t="s">
        <v>1501</v>
      </c>
      <c r="D284" s="28" t="s">
        <v>1556</v>
      </c>
      <c r="E284" s="28" t="s">
        <v>2617</v>
      </c>
      <c r="F284" s="28" t="s">
        <v>2618</v>
      </c>
      <c r="G284" s="63"/>
      <c r="H284" s="58" t="s">
        <v>2137</v>
      </c>
    </row>
    <row r="285" spans="1:8" ht="19.5" hidden="1" customHeight="1" outlineLevel="1" x14ac:dyDescent="0.2">
      <c r="A285" s="60" t="s">
        <v>1540</v>
      </c>
      <c r="B285" s="22">
        <v>274</v>
      </c>
      <c r="C285" s="28" t="s">
        <v>1502</v>
      </c>
      <c r="D285" s="28" t="s">
        <v>1557</v>
      </c>
      <c r="E285" s="28" t="s">
        <v>2619</v>
      </c>
      <c r="F285" s="28" t="s">
        <v>2620</v>
      </c>
      <c r="G285" s="63"/>
      <c r="H285" s="58" t="s">
        <v>2138</v>
      </c>
    </row>
    <row r="286" spans="1:8" ht="19.5" hidden="1" customHeight="1" outlineLevel="1" x14ac:dyDescent="0.2">
      <c r="A286" s="60" t="s">
        <v>1540</v>
      </c>
      <c r="B286" s="22">
        <v>275</v>
      </c>
      <c r="C286" s="28" t="s">
        <v>1558</v>
      </c>
      <c r="D286" s="28" t="s">
        <v>1693</v>
      </c>
      <c r="E286" s="28" t="s">
        <v>2621</v>
      </c>
      <c r="F286" s="28" t="s">
        <v>2622</v>
      </c>
      <c r="G286" s="63"/>
      <c r="H286" s="58" t="s">
        <v>2139</v>
      </c>
    </row>
    <row r="287" spans="1:8" ht="19.5" hidden="1" customHeight="1" outlineLevel="1" x14ac:dyDescent="0.2">
      <c r="A287" s="60" t="s">
        <v>1540</v>
      </c>
      <c r="B287" s="22">
        <v>276</v>
      </c>
      <c r="C287" s="28" t="s">
        <v>1531</v>
      </c>
      <c r="D287" s="28" t="s">
        <v>1694</v>
      </c>
      <c r="E287" s="28" t="s">
        <v>2623</v>
      </c>
      <c r="F287" s="28" t="s">
        <v>2624</v>
      </c>
      <c r="G287" s="63"/>
      <c r="H287" s="58" t="s">
        <v>2140</v>
      </c>
    </row>
    <row r="288" spans="1:8" ht="19.5" hidden="1" customHeight="1" outlineLevel="1" x14ac:dyDescent="0.2">
      <c r="A288" s="60" t="s">
        <v>1540</v>
      </c>
      <c r="B288" s="22">
        <v>277</v>
      </c>
      <c r="C288" s="28" t="s">
        <v>123</v>
      </c>
      <c r="D288" s="28" t="s">
        <v>1695</v>
      </c>
      <c r="E288" s="28" t="s">
        <v>2625</v>
      </c>
      <c r="F288" s="28" t="s">
        <v>2626</v>
      </c>
      <c r="G288" s="63"/>
      <c r="H288" s="58" t="s">
        <v>2141</v>
      </c>
    </row>
    <row r="289" spans="1:8" ht="19.5" hidden="1" customHeight="1" outlineLevel="1" x14ac:dyDescent="0.2">
      <c r="A289" s="60" t="s">
        <v>1540</v>
      </c>
      <c r="B289" s="22">
        <v>278</v>
      </c>
      <c r="C289" s="28" t="s">
        <v>23</v>
      </c>
      <c r="D289" s="28" t="s">
        <v>1696</v>
      </c>
      <c r="E289" s="28" t="s">
        <v>2627</v>
      </c>
      <c r="F289" s="28" t="s">
        <v>2628</v>
      </c>
      <c r="G289" s="63"/>
      <c r="H289" s="58" t="s">
        <v>2142</v>
      </c>
    </row>
    <row r="290" spans="1:8" ht="19.5" hidden="1" customHeight="1" outlineLevel="1" x14ac:dyDescent="0.2">
      <c r="A290" s="60" t="s">
        <v>1540</v>
      </c>
      <c r="B290" s="22">
        <v>279</v>
      </c>
      <c r="C290" s="28" t="s">
        <v>1582</v>
      </c>
      <c r="D290" s="28" t="s">
        <v>1697</v>
      </c>
      <c r="E290" s="28" t="s">
        <v>2629</v>
      </c>
      <c r="F290" s="28" t="s">
        <v>2630</v>
      </c>
      <c r="G290" s="63"/>
      <c r="H290" s="58" t="s">
        <v>2143</v>
      </c>
    </row>
    <row r="291" spans="1:8" ht="19.5" hidden="1" customHeight="1" outlineLevel="1" x14ac:dyDescent="0.2">
      <c r="A291" s="60" t="s">
        <v>1540</v>
      </c>
      <c r="B291" s="22">
        <v>280</v>
      </c>
      <c r="C291" s="28" t="s">
        <v>1581</v>
      </c>
      <c r="D291" s="28" t="s">
        <v>1698</v>
      </c>
      <c r="E291" s="28" t="s">
        <v>2631</v>
      </c>
      <c r="F291" s="28" t="s">
        <v>2632</v>
      </c>
      <c r="G291" s="63"/>
      <c r="H291" s="58" t="s">
        <v>2144</v>
      </c>
    </row>
    <row r="292" spans="1:8" ht="19.5" hidden="1" customHeight="1" outlineLevel="1" x14ac:dyDescent="0.2">
      <c r="A292" s="60" t="s">
        <v>1540</v>
      </c>
      <c r="B292" s="22">
        <v>281</v>
      </c>
      <c r="C292" s="29" t="s">
        <v>1699</v>
      </c>
      <c r="D292" s="28" t="s">
        <v>1729</v>
      </c>
      <c r="E292" s="28" t="s">
        <v>2633</v>
      </c>
      <c r="F292" s="28" t="s">
        <v>2634</v>
      </c>
      <c r="G292" s="63"/>
      <c r="H292" s="58" t="s">
        <v>2145</v>
      </c>
    </row>
    <row r="293" spans="1:8" ht="19.5" hidden="1" customHeight="1" outlineLevel="1" x14ac:dyDescent="0.2">
      <c r="A293" s="60" t="s">
        <v>1733</v>
      </c>
      <c r="B293" s="22">
        <v>282</v>
      </c>
      <c r="C293" s="29" t="s">
        <v>1713</v>
      </c>
      <c r="D293" s="28" t="s">
        <v>1732</v>
      </c>
      <c r="E293" s="28" t="s">
        <v>2561</v>
      </c>
      <c r="F293" s="28" t="s">
        <v>2635</v>
      </c>
      <c r="G293" s="63"/>
      <c r="H293" s="58" t="s">
        <v>2146</v>
      </c>
    </row>
    <row r="294" spans="1:8" ht="19.5" hidden="1" customHeight="1" outlineLevel="1" x14ac:dyDescent="0.2">
      <c r="A294" s="60" t="s">
        <v>1733</v>
      </c>
      <c r="B294" s="22">
        <v>283</v>
      </c>
      <c r="C294" s="29" t="s">
        <v>1727</v>
      </c>
      <c r="D294" s="28" t="s">
        <v>1728</v>
      </c>
      <c r="E294" s="28" t="s">
        <v>2636</v>
      </c>
      <c r="F294" s="28" t="s">
        <v>2637</v>
      </c>
      <c r="G294" s="63"/>
      <c r="H294" s="58" t="s">
        <v>2147</v>
      </c>
    </row>
    <row r="295" spans="1:8" ht="19.5" hidden="1" customHeight="1" outlineLevel="1" x14ac:dyDescent="0.2">
      <c r="A295" s="60" t="s">
        <v>1733</v>
      </c>
      <c r="B295" s="22">
        <v>284</v>
      </c>
      <c r="C295" s="28" t="s">
        <v>1810</v>
      </c>
      <c r="D295" s="62" t="s">
        <v>1811</v>
      </c>
      <c r="E295" s="28" t="s">
        <v>2638</v>
      </c>
      <c r="F295" s="28" t="s">
        <v>2639</v>
      </c>
      <c r="G295" s="63"/>
      <c r="H295" s="58" t="s">
        <v>2148</v>
      </c>
    </row>
    <row r="296" spans="1:8" ht="19.5" hidden="1" customHeight="1" outlineLevel="1" x14ac:dyDescent="0.2">
      <c r="A296" s="60" t="s">
        <v>1733</v>
      </c>
      <c r="B296" s="22">
        <v>285</v>
      </c>
      <c r="C296" s="28" t="s">
        <v>1779</v>
      </c>
      <c r="D296" s="28" t="s">
        <v>1781</v>
      </c>
      <c r="E296" s="28" t="s">
        <v>2640</v>
      </c>
      <c r="F296" s="28" t="s">
        <v>2641</v>
      </c>
      <c r="G296" s="63"/>
      <c r="H296" s="58" t="s">
        <v>2149</v>
      </c>
    </row>
    <row r="297" spans="1:8" ht="19.5" hidden="1" customHeight="1" outlineLevel="1" x14ac:dyDescent="0.2">
      <c r="A297" s="60" t="s">
        <v>1733</v>
      </c>
      <c r="B297" s="22">
        <v>286</v>
      </c>
      <c r="C297" s="28" t="s">
        <v>1780</v>
      </c>
      <c r="D297" s="28" t="s">
        <v>1782</v>
      </c>
      <c r="E297" s="28" t="s">
        <v>2642</v>
      </c>
      <c r="F297" s="28" t="s">
        <v>2643</v>
      </c>
      <c r="G297" s="63"/>
      <c r="H297" s="58" t="s">
        <v>2150</v>
      </c>
    </row>
    <row r="298" spans="1:8" ht="29.25" hidden="1" customHeight="1" outlineLevel="1" x14ac:dyDescent="0.2">
      <c r="A298" s="60" t="s">
        <v>1733</v>
      </c>
      <c r="B298" s="22">
        <v>287</v>
      </c>
      <c r="C298" s="28" t="s">
        <v>1812</v>
      </c>
      <c r="D298" s="63" t="s">
        <v>1813</v>
      </c>
      <c r="E298" s="28" t="s">
        <v>2644</v>
      </c>
      <c r="F298" s="28" t="s">
        <v>2645</v>
      </c>
      <c r="G298" s="63"/>
      <c r="H298" s="58" t="s">
        <v>2151</v>
      </c>
    </row>
    <row r="299" spans="1:8" ht="19.5" hidden="1" customHeight="1" outlineLevel="1" x14ac:dyDescent="0.2">
      <c r="A299" s="26"/>
      <c r="B299" s="22">
        <v>288</v>
      </c>
      <c r="C299" s="28" t="s">
        <v>1831</v>
      </c>
      <c r="D299" s="63" t="s">
        <v>1832</v>
      </c>
      <c r="E299" s="28" t="s">
        <v>2646</v>
      </c>
      <c r="F299" s="28" t="s">
        <v>2647</v>
      </c>
      <c r="G299" s="63"/>
      <c r="H299" s="58" t="s">
        <v>2152</v>
      </c>
    </row>
    <row r="300" spans="1:8" ht="19.5" hidden="1" customHeight="1" outlineLevel="1" x14ac:dyDescent="0.2">
      <c r="A300" s="604" t="s">
        <v>1841</v>
      </c>
      <c r="B300" s="22">
        <v>289</v>
      </c>
      <c r="C300" s="31" t="s">
        <v>2648</v>
      </c>
      <c r="D300" s="31" t="s">
        <v>2649</v>
      </c>
      <c r="E300" s="28" t="s">
        <v>2650</v>
      </c>
      <c r="F300" s="28" t="s">
        <v>2651</v>
      </c>
      <c r="G300" s="63"/>
      <c r="H300" s="58" t="s">
        <v>2153</v>
      </c>
    </row>
    <row r="301" spans="1:8" ht="19.5" hidden="1" customHeight="1" outlineLevel="1" x14ac:dyDescent="0.2">
      <c r="A301" s="604" t="s">
        <v>1841</v>
      </c>
      <c r="B301" s="22">
        <v>290</v>
      </c>
      <c r="C301" s="31" t="s">
        <v>2652</v>
      </c>
      <c r="D301" s="31" t="s">
        <v>2653</v>
      </c>
      <c r="E301" s="28" t="s">
        <v>2654</v>
      </c>
      <c r="F301" s="28" t="s">
        <v>2655</v>
      </c>
      <c r="G301" s="63"/>
      <c r="H301" s="58" t="s">
        <v>2154</v>
      </c>
    </row>
    <row r="302" spans="1:8" ht="19.5" customHeight="1" outlineLevel="1" x14ac:dyDescent="0.2">
      <c r="A302" s="759" t="s">
        <v>2863</v>
      </c>
      <c r="B302" s="22">
        <v>291</v>
      </c>
      <c r="C302" s="29" t="s">
        <v>2876</v>
      </c>
      <c r="D302" s="27" t="s">
        <v>2877</v>
      </c>
      <c r="E302" s="28" t="s">
        <v>2888</v>
      </c>
      <c r="F302" s="28" t="s">
        <v>2897</v>
      </c>
      <c r="G302" s="63"/>
      <c r="H302" s="58" t="s">
        <v>2155</v>
      </c>
    </row>
    <row r="303" spans="1:8" ht="19.5" customHeight="1" outlineLevel="1" x14ac:dyDescent="0.2">
      <c r="A303" s="759" t="s">
        <v>2863</v>
      </c>
      <c r="B303" s="22">
        <v>292</v>
      </c>
      <c r="C303" s="29" t="s">
        <v>2878</v>
      </c>
      <c r="D303" s="27" t="s">
        <v>2879</v>
      </c>
      <c r="E303" s="28" t="s">
        <v>2889</v>
      </c>
      <c r="F303" s="28" t="s">
        <v>2898</v>
      </c>
      <c r="G303" s="63"/>
      <c r="H303" s="58" t="s">
        <v>2156</v>
      </c>
    </row>
    <row r="304" spans="1:8" ht="19.5" hidden="1" customHeight="1" outlineLevel="1" x14ac:dyDescent="0.2">
      <c r="A304" s="604" t="s">
        <v>1841</v>
      </c>
      <c r="B304" s="22">
        <v>293</v>
      </c>
      <c r="C304" s="29" t="s">
        <v>1860</v>
      </c>
      <c r="D304" s="28" t="s">
        <v>1861</v>
      </c>
      <c r="E304" s="28" t="s">
        <v>2656</v>
      </c>
      <c r="F304" s="28" t="s">
        <v>2657</v>
      </c>
      <c r="G304" s="63"/>
      <c r="H304" s="58" t="s">
        <v>2157</v>
      </c>
    </row>
    <row r="305" spans="1:8" ht="71.25" hidden="1" outlineLevel="1" x14ac:dyDescent="0.2">
      <c r="A305" s="604" t="s">
        <v>1841</v>
      </c>
      <c r="B305" s="22">
        <v>294</v>
      </c>
      <c r="C305" s="29" t="s">
        <v>1863</v>
      </c>
      <c r="D305" s="28" t="s">
        <v>1864</v>
      </c>
      <c r="E305" s="28" t="s">
        <v>2658</v>
      </c>
      <c r="F305" s="28" t="s">
        <v>2659</v>
      </c>
      <c r="G305" s="63"/>
      <c r="H305" s="58" t="s">
        <v>2158</v>
      </c>
    </row>
    <row r="306" spans="1:8" ht="85.5" hidden="1" outlineLevel="1" x14ac:dyDescent="0.2">
      <c r="A306" s="604" t="s">
        <v>1841</v>
      </c>
      <c r="B306" s="22">
        <v>295</v>
      </c>
      <c r="C306" s="29" t="s">
        <v>1853</v>
      </c>
      <c r="D306" s="603" t="s">
        <v>1854</v>
      </c>
      <c r="E306" s="28" t="s">
        <v>2660</v>
      </c>
      <c r="F306" s="28" t="s">
        <v>2661</v>
      </c>
      <c r="G306" s="63"/>
      <c r="H306" s="58" t="s">
        <v>2159</v>
      </c>
    </row>
    <row r="307" spans="1:8" ht="62.25" hidden="1" customHeight="1" outlineLevel="1" x14ac:dyDescent="0.2">
      <c r="A307" s="604" t="s">
        <v>1841</v>
      </c>
      <c r="B307" s="22">
        <v>296</v>
      </c>
      <c r="C307" s="29" t="s">
        <v>1852</v>
      </c>
      <c r="D307" s="603" t="s">
        <v>1855</v>
      </c>
      <c r="E307" s="28" t="s">
        <v>2662</v>
      </c>
      <c r="F307" s="28" t="s">
        <v>2663</v>
      </c>
      <c r="G307" s="63"/>
      <c r="H307" s="58" t="s">
        <v>2160</v>
      </c>
    </row>
    <row r="308" spans="1:8" ht="28.5" hidden="1" outlineLevel="1" x14ac:dyDescent="0.2">
      <c r="A308" s="604" t="s">
        <v>1841</v>
      </c>
      <c r="B308" s="22">
        <v>297</v>
      </c>
      <c r="C308" s="29" t="s">
        <v>2664</v>
      </c>
      <c r="D308" s="29" t="s">
        <v>2665</v>
      </c>
      <c r="E308" s="28" t="s">
        <v>2666</v>
      </c>
      <c r="F308" s="28" t="s">
        <v>2667</v>
      </c>
      <c r="G308" s="63"/>
      <c r="H308" s="58" t="s">
        <v>2086</v>
      </c>
    </row>
    <row r="309" spans="1:8" ht="19.5" hidden="1" customHeight="1" outlineLevel="1" x14ac:dyDescent="0.2">
      <c r="A309" s="604" t="s">
        <v>1841</v>
      </c>
      <c r="B309" s="22">
        <v>298</v>
      </c>
      <c r="C309" s="29" t="s">
        <v>1865</v>
      </c>
      <c r="D309" s="28" t="s">
        <v>1866</v>
      </c>
      <c r="E309" s="28" t="s">
        <v>2668</v>
      </c>
      <c r="F309" s="28" t="s">
        <v>1128</v>
      </c>
      <c r="G309" s="63"/>
      <c r="H309" s="58" t="s">
        <v>2087</v>
      </c>
    </row>
    <row r="310" spans="1:8" ht="19.5" hidden="1" customHeight="1" outlineLevel="1" x14ac:dyDescent="0.2">
      <c r="A310" s="604" t="s">
        <v>1841</v>
      </c>
      <c r="B310" s="22">
        <v>299</v>
      </c>
      <c r="C310" s="29" t="s">
        <v>1867</v>
      </c>
      <c r="D310" s="28" t="s">
        <v>1868</v>
      </c>
      <c r="E310" s="28" t="s">
        <v>2669</v>
      </c>
      <c r="F310" s="28" t="s">
        <v>2670</v>
      </c>
      <c r="G310" s="63"/>
      <c r="H310" s="58" t="s">
        <v>2088</v>
      </c>
    </row>
    <row r="311" spans="1:8" ht="19.5" hidden="1" customHeight="1" outlineLevel="1" x14ac:dyDescent="0.2">
      <c r="A311" s="604" t="s">
        <v>1841</v>
      </c>
      <c r="B311" s="22">
        <v>300</v>
      </c>
      <c r="C311" s="29" t="s">
        <v>1869</v>
      </c>
      <c r="D311" s="33" t="s">
        <v>1870</v>
      </c>
      <c r="E311" s="28" t="s">
        <v>2671</v>
      </c>
      <c r="F311" s="28" t="s">
        <v>2672</v>
      </c>
      <c r="G311" s="63"/>
      <c r="H311" s="58" t="s">
        <v>2089</v>
      </c>
    </row>
    <row r="312" spans="1:8" ht="19.5" hidden="1" customHeight="1" outlineLevel="1" x14ac:dyDescent="0.2">
      <c r="A312" s="604" t="s">
        <v>1841</v>
      </c>
      <c r="B312" s="22">
        <v>301</v>
      </c>
      <c r="C312" s="29" t="s">
        <v>1871</v>
      </c>
      <c r="D312" s="33" t="s">
        <v>1872</v>
      </c>
      <c r="E312" s="28" t="s">
        <v>2673</v>
      </c>
      <c r="F312" s="28" t="s">
        <v>2674</v>
      </c>
      <c r="G312" s="63"/>
      <c r="H312" s="58" t="s">
        <v>2090</v>
      </c>
    </row>
    <row r="313" spans="1:8" ht="19.5" hidden="1" customHeight="1" outlineLevel="1" x14ac:dyDescent="0.2">
      <c r="A313" s="604" t="s">
        <v>1841</v>
      </c>
      <c r="B313" s="22">
        <v>302</v>
      </c>
      <c r="C313" s="29" t="s">
        <v>1873</v>
      </c>
      <c r="D313" s="33" t="s">
        <v>1874</v>
      </c>
      <c r="E313" s="28" t="s">
        <v>2675</v>
      </c>
      <c r="F313" s="28" t="s">
        <v>2676</v>
      </c>
      <c r="G313" s="63"/>
      <c r="H313" s="58" t="s">
        <v>2091</v>
      </c>
    </row>
    <row r="314" spans="1:8" ht="19.5" hidden="1" customHeight="1" outlineLevel="1" x14ac:dyDescent="0.2">
      <c r="A314" s="604" t="s">
        <v>1841</v>
      </c>
      <c r="B314" s="22">
        <v>303</v>
      </c>
      <c r="C314" s="29" t="s">
        <v>1875</v>
      </c>
      <c r="D314" s="28" t="s">
        <v>1876</v>
      </c>
      <c r="E314" s="28" t="s">
        <v>2677</v>
      </c>
      <c r="F314" s="28" t="s">
        <v>2678</v>
      </c>
      <c r="G314" s="63"/>
      <c r="H314" s="58" t="s">
        <v>2092</v>
      </c>
    </row>
    <row r="315" spans="1:8" ht="19.5" hidden="1" customHeight="1" outlineLevel="1" x14ac:dyDescent="0.2">
      <c r="A315" s="604" t="s">
        <v>1841</v>
      </c>
      <c r="B315" s="22">
        <v>304</v>
      </c>
      <c r="C315" s="29" t="s">
        <v>88</v>
      </c>
      <c r="D315" s="28" t="s">
        <v>1877</v>
      </c>
      <c r="E315" s="28" t="s">
        <v>834</v>
      </c>
      <c r="F315" s="28" t="s">
        <v>1129</v>
      </c>
      <c r="G315" s="63"/>
      <c r="H315" s="58" t="s">
        <v>2093</v>
      </c>
    </row>
    <row r="316" spans="1:8" ht="19.5" hidden="1" customHeight="1" outlineLevel="1" x14ac:dyDescent="0.2">
      <c r="A316" s="604" t="s">
        <v>1841</v>
      </c>
      <c r="B316" s="22">
        <v>305</v>
      </c>
      <c r="C316" s="29" t="s">
        <v>1878</v>
      </c>
      <c r="D316" s="28" t="s">
        <v>2784</v>
      </c>
      <c r="E316" s="28" t="s">
        <v>2785</v>
      </c>
      <c r="F316" s="28" t="s">
        <v>2679</v>
      </c>
      <c r="G316" s="63"/>
      <c r="H316" s="58" t="s">
        <v>2094</v>
      </c>
    </row>
    <row r="317" spans="1:8" ht="19.5" hidden="1" customHeight="1" outlineLevel="1" x14ac:dyDescent="0.2">
      <c r="A317" s="604" t="s">
        <v>1862</v>
      </c>
      <c r="B317" s="22">
        <v>306</v>
      </c>
      <c r="C317" s="31" t="s">
        <v>1884</v>
      </c>
      <c r="D317" s="31" t="s">
        <v>1885</v>
      </c>
      <c r="E317" s="28" t="s">
        <v>2680</v>
      </c>
      <c r="F317" s="28" t="s">
        <v>2681</v>
      </c>
      <c r="G317" s="63"/>
      <c r="H317" s="58" t="s">
        <v>2095</v>
      </c>
    </row>
    <row r="318" spans="1:8" ht="19.5" hidden="1" customHeight="1" outlineLevel="1" x14ac:dyDescent="0.2">
      <c r="A318" s="604" t="s">
        <v>1841</v>
      </c>
      <c r="B318" s="22">
        <v>307</v>
      </c>
      <c r="C318" s="31" t="s">
        <v>2699</v>
      </c>
      <c r="D318" s="31" t="s">
        <v>2700</v>
      </c>
      <c r="E318" s="63" t="s">
        <v>2701</v>
      </c>
      <c r="F318" s="28" t="s">
        <v>2702</v>
      </c>
      <c r="G318" s="63"/>
      <c r="H318" s="58" t="s">
        <v>2085</v>
      </c>
    </row>
    <row r="319" spans="1:8" ht="19.5" hidden="1" customHeight="1" collapsed="1" x14ac:dyDescent="0.2">
      <c r="A319" s="714" t="s">
        <v>2775</v>
      </c>
      <c r="B319" s="22">
        <v>308</v>
      </c>
      <c r="C319" s="31" t="s">
        <v>2808</v>
      </c>
      <c r="D319" s="31" t="s">
        <v>2809</v>
      </c>
      <c r="E319" s="28" t="s">
        <v>2810</v>
      </c>
      <c r="F319" s="28" t="s">
        <v>2811</v>
      </c>
    </row>
    <row r="320" spans="1:8" ht="19.5" hidden="1" customHeight="1" outlineLevel="1" x14ac:dyDescent="0.2">
      <c r="A320" s="714" t="s">
        <v>2775</v>
      </c>
      <c r="B320" s="22">
        <v>309</v>
      </c>
      <c r="C320" s="31" t="s">
        <v>2812</v>
      </c>
      <c r="D320" s="31" t="s">
        <v>2813</v>
      </c>
      <c r="E320" s="63" t="s">
        <v>2814</v>
      </c>
      <c r="F320" s="28" t="s">
        <v>2815</v>
      </c>
    </row>
    <row r="321" spans="1:6" ht="19.5" hidden="1" customHeight="1" outlineLevel="1" x14ac:dyDescent="0.2">
      <c r="A321" s="759" t="s">
        <v>2853</v>
      </c>
      <c r="B321" s="22">
        <v>310</v>
      </c>
      <c r="C321" s="31" t="s">
        <v>2856</v>
      </c>
      <c r="D321" s="31" t="s">
        <v>2857</v>
      </c>
      <c r="E321" s="63" t="s">
        <v>2854</v>
      </c>
      <c r="F321" s="28" t="s">
        <v>2858</v>
      </c>
    </row>
    <row r="322" spans="1:6" ht="19.5" hidden="1" customHeight="1" outlineLevel="1" x14ac:dyDescent="0.2">
      <c r="A322" s="642"/>
      <c r="B322" s="643"/>
      <c r="C322" s="644"/>
      <c r="D322" s="645"/>
      <c r="E322" s="645"/>
      <c r="F322" s="646"/>
    </row>
    <row r="323" spans="1:6" ht="19.5" hidden="1" customHeight="1" outlineLevel="1" x14ac:dyDescent="0.2">
      <c r="A323" s="642"/>
      <c r="B323" s="643"/>
      <c r="C323" s="644"/>
      <c r="D323" s="645"/>
      <c r="E323" s="645"/>
      <c r="F323" s="646"/>
    </row>
    <row r="324" spans="1:6" ht="19.5" hidden="1" customHeight="1" outlineLevel="1" x14ac:dyDescent="0.2">
      <c r="A324" s="642"/>
      <c r="B324" s="643"/>
      <c r="C324" s="644"/>
      <c r="D324" s="645"/>
      <c r="E324" s="645"/>
      <c r="F324" s="646"/>
    </row>
    <row r="325" spans="1:6" ht="19.5" hidden="1" customHeight="1" outlineLevel="1" x14ac:dyDescent="0.2">
      <c r="A325" s="642"/>
      <c r="B325" s="643"/>
      <c r="C325" s="644"/>
      <c r="D325" s="645"/>
      <c r="E325" s="645"/>
      <c r="F325" s="646"/>
    </row>
    <row r="326" spans="1:6" ht="19.5" hidden="1" customHeight="1" outlineLevel="1" x14ac:dyDescent="0.2">
      <c r="A326" s="642"/>
      <c r="B326" s="643"/>
      <c r="C326" s="644"/>
      <c r="D326" s="645"/>
      <c r="E326" s="645"/>
      <c r="F326" s="646"/>
    </row>
    <row r="327" spans="1:6" ht="19.5" hidden="1" customHeight="1" outlineLevel="1" x14ac:dyDescent="0.2">
      <c r="A327" s="642"/>
      <c r="B327" s="643"/>
      <c r="C327" s="644"/>
      <c r="D327" s="645"/>
      <c r="E327" s="645"/>
      <c r="F327" s="646"/>
    </row>
    <row r="328" spans="1:6" ht="19.5" hidden="1" customHeight="1" outlineLevel="1" x14ac:dyDescent="0.2">
      <c r="A328" s="642"/>
      <c r="B328" s="643"/>
      <c r="C328" s="644"/>
      <c r="D328" s="645"/>
      <c r="E328" s="645"/>
      <c r="F328" s="646"/>
    </row>
    <row r="329" spans="1:6" ht="19.5" hidden="1" customHeight="1" outlineLevel="1" x14ac:dyDescent="0.2">
      <c r="A329" s="642"/>
      <c r="B329" s="643"/>
      <c r="C329" s="644"/>
      <c r="D329" s="645"/>
      <c r="E329" s="645"/>
      <c r="F329" s="646"/>
    </row>
    <row r="330" spans="1:6" ht="19.5" hidden="1" customHeight="1" outlineLevel="1" x14ac:dyDescent="0.2">
      <c r="A330" s="642"/>
      <c r="B330" s="643"/>
      <c r="C330" s="644"/>
      <c r="D330" s="645"/>
      <c r="E330" s="645"/>
      <c r="F330" s="646"/>
    </row>
    <row r="331" spans="1:6" ht="19.5" hidden="1" customHeight="1" outlineLevel="1" x14ac:dyDescent="0.2">
      <c r="A331" s="642"/>
      <c r="B331" s="643"/>
      <c r="C331" s="644"/>
      <c r="D331" s="645"/>
      <c r="E331" s="645"/>
      <c r="F331" s="646"/>
    </row>
    <row r="332" spans="1:6" ht="19.5" hidden="1" customHeight="1" outlineLevel="1" x14ac:dyDescent="0.2">
      <c r="A332" s="642"/>
      <c r="B332" s="643"/>
      <c r="C332" s="644"/>
      <c r="D332" s="645"/>
      <c r="E332" s="645"/>
      <c r="F332" s="646"/>
    </row>
    <row r="333" spans="1:6" ht="19.5" hidden="1" customHeight="1" outlineLevel="1" x14ac:dyDescent="0.2">
      <c r="A333" s="642"/>
      <c r="B333" s="643"/>
      <c r="C333" s="644"/>
      <c r="D333" s="645"/>
      <c r="E333" s="645"/>
      <c r="F333" s="646"/>
    </row>
    <row r="334" spans="1:6" ht="19.5" hidden="1" customHeight="1" outlineLevel="1" x14ac:dyDescent="0.2">
      <c r="A334" s="642"/>
      <c r="B334" s="643"/>
      <c r="C334" s="644"/>
      <c r="D334" s="645"/>
      <c r="E334" s="645"/>
      <c r="F334" s="646"/>
    </row>
    <row r="335" spans="1:6" ht="19.5" hidden="1" customHeight="1" outlineLevel="1" x14ac:dyDescent="0.2">
      <c r="A335" s="642"/>
      <c r="B335" s="643"/>
      <c r="C335" s="644"/>
      <c r="D335" s="645"/>
      <c r="E335" s="645"/>
      <c r="F335" s="646"/>
    </row>
    <row r="336" spans="1:6" ht="19.5" hidden="1" customHeight="1" outlineLevel="1" x14ac:dyDescent="0.2">
      <c r="A336" s="642"/>
      <c r="B336" s="643"/>
      <c r="C336" s="644"/>
      <c r="D336" s="645"/>
      <c r="E336" s="645"/>
      <c r="F336" s="646"/>
    </row>
    <row r="337" spans="1:8" ht="19.5" hidden="1" customHeight="1" outlineLevel="1" x14ac:dyDescent="0.2">
      <c r="A337" s="642"/>
      <c r="B337" s="643"/>
      <c r="C337" s="644"/>
      <c r="D337" s="645"/>
      <c r="E337" s="645"/>
      <c r="F337" s="646"/>
    </row>
    <row r="338" spans="1:8" s="645" customFormat="1" ht="25.5" hidden="1" customHeight="1" x14ac:dyDescent="0.2">
      <c r="A338" s="760" t="s">
        <v>2870</v>
      </c>
      <c r="B338" s="761"/>
      <c r="C338" s="762" t="s">
        <v>2871</v>
      </c>
      <c r="D338" s="763"/>
      <c r="F338" s="646"/>
      <c r="G338" s="646"/>
      <c r="H338" s="764"/>
    </row>
    <row r="339" spans="1:8" s="645" customFormat="1" ht="19.5" hidden="1" customHeight="1" outlineLevel="1" x14ac:dyDescent="0.2">
      <c r="A339" s="642"/>
      <c r="B339" s="643"/>
      <c r="C339" s="644"/>
      <c r="F339" s="646"/>
      <c r="G339" s="646"/>
      <c r="H339" s="765"/>
    </row>
    <row r="340" spans="1:8" s="766" customFormat="1" ht="19.5" hidden="1" customHeight="1" outlineLevel="1" x14ac:dyDescent="0.2">
      <c r="A340" s="26"/>
      <c r="B340" s="22">
        <v>1</v>
      </c>
      <c r="C340" s="651">
        <v>1</v>
      </c>
      <c r="D340" s="651">
        <v>2</v>
      </c>
      <c r="E340" s="652">
        <v>3</v>
      </c>
      <c r="F340" s="652">
        <v>4</v>
      </c>
      <c r="G340" s="652">
        <v>5</v>
      </c>
      <c r="H340" s="651">
        <v>6</v>
      </c>
    </row>
    <row r="341" spans="1:8" s="645" customFormat="1" ht="19.5" customHeight="1" outlineLevel="1" x14ac:dyDescent="0.2">
      <c r="A341" s="759" t="s">
        <v>2863</v>
      </c>
      <c r="B341" s="22">
        <v>2</v>
      </c>
      <c r="C341" s="28" t="s">
        <v>2864</v>
      </c>
      <c r="D341" s="28" t="s">
        <v>2865</v>
      </c>
      <c r="E341" s="28" t="s">
        <v>2890</v>
      </c>
      <c r="F341" s="28" t="s">
        <v>2899</v>
      </c>
      <c r="G341" s="28"/>
      <c r="H341" s="28"/>
    </row>
    <row r="342" spans="1:8" s="645" customFormat="1" ht="19.5" customHeight="1" outlineLevel="1" x14ac:dyDescent="0.2">
      <c r="A342" s="759" t="s">
        <v>2863</v>
      </c>
      <c r="B342" s="22">
        <v>3</v>
      </c>
      <c r="C342" s="28" t="s">
        <v>2866</v>
      </c>
      <c r="D342" s="28" t="s">
        <v>2867</v>
      </c>
      <c r="E342" s="28" t="s">
        <v>2891</v>
      </c>
      <c r="F342" s="28" t="s">
        <v>2900</v>
      </c>
      <c r="G342" s="28"/>
      <c r="H342" s="28"/>
    </row>
    <row r="343" spans="1:8" s="645" customFormat="1" ht="19.5" customHeight="1" outlineLevel="1" x14ac:dyDescent="0.2">
      <c r="A343" s="759" t="s">
        <v>2863</v>
      </c>
      <c r="B343" s="22">
        <v>4</v>
      </c>
      <c r="C343" s="28" t="s">
        <v>2868</v>
      </c>
      <c r="D343" s="28" t="s">
        <v>2869</v>
      </c>
      <c r="E343" s="28" t="s">
        <v>2892</v>
      </c>
      <c r="F343" s="28" t="s">
        <v>2901</v>
      </c>
      <c r="G343" s="28"/>
      <c r="H343" s="28"/>
    </row>
    <row r="344" spans="1:8" s="645" customFormat="1" ht="19.5" hidden="1" customHeight="1" outlineLevel="1" x14ac:dyDescent="0.2">
      <c r="A344" s="26"/>
      <c r="B344" s="22">
        <v>5</v>
      </c>
      <c r="C344" s="28"/>
      <c r="D344" s="28"/>
      <c r="E344" s="28"/>
      <c r="F344" s="28"/>
      <c r="G344" s="28"/>
      <c r="H344" s="28"/>
    </row>
    <row r="345" spans="1:8" s="645" customFormat="1" ht="19.5" hidden="1" customHeight="1" outlineLevel="1" x14ac:dyDescent="0.2">
      <c r="A345" s="26"/>
      <c r="B345" s="22">
        <v>6</v>
      </c>
      <c r="C345" s="28"/>
      <c r="D345" s="28"/>
      <c r="E345" s="28"/>
      <c r="F345" s="28"/>
      <c r="G345" s="28"/>
      <c r="H345" s="28"/>
    </row>
    <row r="346" spans="1:8" s="645" customFormat="1" ht="19.5" hidden="1" customHeight="1" outlineLevel="1" x14ac:dyDescent="0.2">
      <c r="A346" s="26"/>
      <c r="B346" s="22">
        <v>7</v>
      </c>
      <c r="C346" s="28"/>
      <c r="D346" s="28"/>
      <c r="E346" s="28"/>
      <c r="F346" s="28"/>
      <c r="G346" s="28"/>
      <c r="H346" s="28"/>
    </row>
    <row r="347" spans="1:8" s="645" customFormat="1" ht="19.5" hidden="1" customHeight="1" outlineLevel="1" x14ac:dyDescent="0.2">
      <c r="A347" s="26"/>
      <c r="B347" s="22">
        <v>8</v>
      </c>
      <c r="C347" s="28"/>
      <c r="D347" s="28"/>
      <c r="E347" s="28"/>
      <c r="F347" s="28"/>
      <c r="G347" s="28"/>
      <c r="H347" s="28"/>
    </row>
    <row r="348" spans="1:8" s="645" customFormat="1" ht="19.5" hidden="1" customHeight="1" outlineLevel="1" x14ac:dyDescent="0.2">
      <c r="A348" s="26"/>
      <c r="B348" s="22">
        <v>9</v>
      </c>
      <c r="C348" s="28"/>
      <c r="D348" s="28"/>
      <c r="E348" s="28"/>
      <c r="F348" s="28"/>
      <c r="G348" s="28"/>
      <c r="H348" s="28"/>
    </row>
    <row r="349" spans="1:8" s="645" customFormat="1" ht="19.5" hidden="1" customHeight="1" outlineLevel="1" x14ac:dyDescent="0.2">
      <c r="A349" s="26"/>
      <c r="B349" s="22">
        <v>10</v>
      </c>
      <c r="C349" s="29"/>
      <c r="D349" s="603"/>
      <c r="E349" s="28"/>
      <c r="F349" s="28"/>
      <c r="G349" s="28"/>
      <c r="H349" s="28"/>
    </row>
    <row r="350" spans="1:8" s="645" customFormat="1" ht="19.5" hidden="1" customHeight="1" outlineLevel="1" x14ac:dyDescent="0.2">
      <c r="A350" s="26"/>
      <c r="B350" s="22">
        <v>11</v>
      </c>
      <c r="C350" s="29"/>
      <c r="D350" s="603"/>
      <c r="E350" s="28"/>
      <c r="F350" s="28"/>
      <c r="G350" s="28"/>
      <c r="H350" s="28"/>
    </row>
    <row r="351" spans="1:8" s="645" customFormat="1" ht="19.5" hidden="1" customHeight="1" outlineLevel="1" x14ac:dyDescent="0.2">
      <c r="A351" s="26"/>
      <c r="B351" s="22">
        <v>12</v>
      </c>
      <c r="C351" s="28"/>
      <c r="D351" s="28"/>
      <c r="E351" s="28"/>
      <c r="F351" s="28"/>
      <c r="G351" s="28"/>
      <c r="H351" s="28"/>
    </row>
    <row r="352" spans="1:8" s="645" customFormat="1" ht="19.5" hidden="1" customHeight="1" outlineLevel="1" x14ac:dyDescent="0.2">
      <c r="A352" s="26"/>
      <c r="B352" s="22">
        <v>13</v>
      </c>
      <c r="C352" s="28"/>
      <c r="D352" s="28"/>
      <c r="E352" s="28"/>
      <c r="F352" s="28"/>
      <c r="G352" s="28"/>
      <c r="H352" s="28"/>
    </row>
    <row r="353" spans="1:8" s="645" customFormat="1" ht="19.5" hidden="1" customHeight="1" outlineLevel="1" x14ac:dyDescent="0.2">
      <c r="A353" s="26"/>
      <c r="B353" s="22">
        <v>14</v>
      </c>
      <c r="C353" s="28"/>
      <c r="D353" s="28"/>
      <c r="E353" s="28"/>
      <c r="F353" s="28"/>
      <c r="G353" s="28"/>
      <c r="H353" s="28"/>
    </row>
    <row r="354" spans="1:8" s="645" customFormat="1" ht="19.5" hidden="1" customHeight="1" outlineLevel="1" x14ac:dyDescent="0.2">
      <c r="A354" s="26"/>
      <c r="B354" s="22">
        <v>15</v>
      </c>
      <c r="C354" s="28"/>
      <c r="D354" s="28"/>
      <c r="E354" s="28"/>
      <c r="F354" s="28"/>
      <c r="G354" s="28"/>
      <c r="H354" s="28"/>
    </row>
    <row r="355" spans="1:8" s="645" customFormat="1" ht="19.5" hidden="1" customHeight="1" outlineLevel="1" x14ac:dyDescent="0.2">
      <c r="A355" s="26"/>
      <c r="B355" s="22">
        <v>16</v>
      </c>
      <c r="C355" s="28"/>
      <c r="D355" s="28"/>
      <c r="E355" s="28"/>
      <c r="F355" s="28"/>
      <c r="G355" s="28"/>
      <c r="H355" s="28"/>
    </row>
    <row r="356" spans="1:8" s="645" customFormat="1" ht="19.5" hidden="1" customHeight="1" outlineLevel="1" x14ac:dyDescent="0.2">
      <c r="A356" s="26"/>
      <c r="B356" s="22">
        <v>17</v>
      </c>
      <c r="C356" s="28"/>
      <c r="D356" s="28"/>
      <c r="E356" s="28"/>
      <c r="F356" s="28"/>
      <c r="G356" s="28"/>
      <c r="H356" s="28"/>
    </row>
    <row r="357" spans="1:8" s="645" customFormat="1" ht="19.5" hidden="1" customHeight="1" outlineLevel="1" x14ac:dyDescent="0.2">
      <c r="A357" s="26"/>
      <c r="B357" s="22">
        <v>18</v>
      </c>
      <c r="C357" s="28"/>
      <c r="D357" s="28"/>
      <c r="E357" s="28"/>
      <c r="F357" s="28"/>
      <c r="G357" s="28"/>
      <c r="H357" s="28"/>
    </row>
    <row r="358" spans="1:8" s="645" customFormat="1" ht="19.5" hidden="1" customHeight="1" outlineLevel="1" x14ac:dyDescent="0.2">
      <c r="A358" s="26"/>
      <c r="B358" s="22">
        <v>19</v>
      </c>
      <c r="C358" s="28"/>
      <c r="D358" s="28"/>
      <c r="E358" s="28"/>
      <c r="F358" s="28"/>
      <c r="G358" s="28"/>
      <c r="H358" s="28"/>
    </row>
    <row r="359" spans="1:8" s="645" customFormat="1" ht="19.5" hidden="1" customHeight="1" outlineLevel="1" x14ac:dyDescent="0.2">
      <c r="A359" s="26"/>
      <c r="B359" s="22">
        <v>20</v>
      </c>
      <c r="C359" s="28"/>
      <c r="D359" s="28"/>
      <c r="E359" s="28"/>
      <c r="F359" s="28"/>
      <c r="G359" s="28"/>
      <c r="H359" s="28"/>
    </row>
    <row r="360" spans="1:8" s="645" customFormat="1" ht="19.5" hidden="1" customHeight="1" outlineLevel="1" x14ac:dyDescent="0.2">
      <c r="A360" s="26"/>
      <c r="B360" s="22">
        <v>21</v>
      </c>
      <c r="C360" s="28"/>
      <c r="D360" s="28"/>
      <c r="E360" s="28"/>
      <c r="F360" s="28"/>
      <c r="G360" s="28"/>
      <c r="H360" s="28"/>
    </row>
    <row r="361" spans="1:8" ht="19.5" hidden="1" customHeight="1" outlineLevel="1" x14ac:dyDescent="0.2">
      <c r="A361" s="642"/>
      <c r="B361" s="643"/>
      <c r="C361" s="644"/>
      <c r="D361" s="645"/>
      <c r="E361" s="645"/>
      <c r="F361" s="646"/>
    </row>
    <row r="362" spans="1:8" ht="19.5" hidden="1" customHeight="1" outlineLevel="1" x14ac:dyDescent="0.2">
      <c r="A362" s="642"/>
      <c r="B362" s="643"/>
      <c r="C362" s="644"/>
      <c r="D362" s="645"/>
      <c r="E362" s="645"/>
      <c r="F362" s="646"/>
    </row>
    <row r="363" spans="1:8" ht="19.5" hidden="1" customHeight="1" outlineLevel="1" x14ac:dyDescent="0.2">
      <c r="A363" s="642"/>
      <c r="B363" s="643"/>
      <c r="C363" s="644"/>
      <c r="D363" s="645"/>
      <c r="E363" s="645"/>
      <c r="F363" s="646"/>
    </row>
    <row r="364" spans="1:8" ht="19.5" hidden="1" customHeight="1" outlineLevel="1" x14ac:dyDescent="0.2">
      <c r="A364" s="642"/>
      <c r="B364" s="643"/>
      <c r="C364" s="644"/>
      <c r="D364" s="645"/>
      <c r="E364" s="645"/>
      <c r="F364" s="646"/>
    </row>
    <row r="365" spans="1:8" ht="19.5" hidden="1" customHeight="1" outlineLevel="1" x14ac:dyDescent="0.2">
      <c r="A365" s="642"/>
      <c r="B365" s="643"/>
      <c r="C365" s="644"/>
      <c r="D365" s="645"/>
      <c r="E365" s="645"/>
      <c r="F365" s="646"/>
    </row>
    <row r="366" spans="1:8" ht="19.5" hidden="1" customHeight="1" outlineLevel="1" x14ac:dyDescent="0.2">
      <c r="A366" s="642"/>
      <c r="B366" s="643"/>
      <c r="C366" s="644"/>
      <c r="D366" s="645"/>
      <c r="E366" s="645"/>
      <c r="F366" s="646"/>
    </row>
    <row r="367" spans="1:8" ht="19.5" hidden="1" customHeight="1" outlineLevel="1" x14ac:dyDescent="0.2">
      <c r="A367" s="642"/>
      <c r="B367" s="643"/>
      <c r="C367" s="644"/>
      <c r="D367" s="645"/>
      <c r="E367" s="645"/>
      <c r="F367" s="646"/>
    </row>
    <row r="368" spans="1:8" ht="19.5" hidden="1" customHeight="1" outlineLevel="1" x14ac:dyDescent="0.2">
      <c r="A368" s="642"/>
      <c r="B368" s="643"/>
      <c r="C368" s="644"/>
      <c r="D368" s="645"/>
      <c r="E368" s="645"/>
      <c r="F368" s="646"/>
    </row>
    <row r="369" spans="1:6" ht="19.5" hidden="1" customHeight="1" outlineLevel="1" x14ac:dyDescent="0.2">
      <c r="A369" s="642"/>
      <c r="B369" s="643"/>
      <c r="C369" s="644"/>
      <c r="D369" s="645"/>
      <c r="E369" s="645"/>
      <c r="F369" s="646"/>
    </row>
    <row r="370" spans="1:6" ht="19.5" hidden="1" customHeight="1" outlineLevel="1" x14ac:dyDescent="0.2">
      <c r="A370" s="642"/>
      <c r="B370" s="643"/>
      <c r="C370" s="644"/>
      <c r="D370" s="645"/>
      <c r="E370" s="645"/>
      <c r="F370" s="646"/>
    </row>
    <row r="371" spans="1:6" ht="19.5" hidden="1" customHeight="1" outlineLevel="1" x14ac:dyDescent="0.2">
      <c r="A371" s="642"/>
      <c r="B371" s="643"/>
      <c r="C371" s="644"/>
      <c r="D371" s="645"/>
      <c r="E371" s="645"/>
      <c r="F371" s="646"/>
    </row>
    <row r="372" spans="1:6" ht="19.5" hidden="1" customHeight="1" outlineLevel="1" x14ac:dyDescent="0.2">
      <c r="A372" s="642"/>
      <c r="B372" s="643"/>
      <c r="C372" s="644"/>
      <c r="D372" s="645"/>
      <c r="E372" s="645"/>
      <c r="F372" s="646"/>
    </row>
    <row r="373" spans="1:6" ht="19.5" hidden="1" customHeight="1" outlineLevel="1" x14ac:dyDescent="0.2">
      <c r="A373" s="642"/>
      <c r="B373" s="643"/>
      <c r="C373" s="644"/>
      <c r="D373" s="645"/>
      <c r="E373" s="645"/>
      <c r="F373" s="646"/>
    </row>
    <row r="374" spans="1:6" ht="19.5" hidden="1" customHeight="1" outlineLevel="1" x14ac:dyDescent="0.2">
      <c r="A374" s="642"/>
      <c r="B374" s="643"/>
      <c r="C374" s="644"/>
      <c r="D374" s="645"/>
      <c r="E374" s="645"/>
      <c r="F374" s="646"/>
    </row>
    <row r="375" spans="1:6" ht="19.5" hidden="1" customHeight="1" outlineLevel="1" x14ac:dyDescent="0.2">
      <c r="A375" s="642"/>
      <c r="B375" s="643"/>
      <c r="C375" s="644"/>
      <c r="D375" s="645"/>
      <c r="E375" s="645"/>
      <c r="F375" s="646"/>
    </row>
    <row r="376" spans="1:6" ht="19.5" hidden="1" customHeight="1" outlineLevel="1" x14ac:dyDescent="0.2">
      <c r="A376" s="642"/>
      <c r="B376" s="643"/>
      <c r="C376" s="644"/>
      <c r="D376" s="645"/>
      <c r="E376" s="645"/>
      <c r="F376" s="646"/>
    </row>
    <row r="377" spans="1:6" ht="19.5" hidden="1" customHeight="1" outlineLevel="1" x14ac:dyDescent="0.2">
      <c r="A377" s="642"/>
      <c r="B377" s="643"/>
      <c r="C377" s="644"/>
      <c r="D377" s="645"/>
      <c r="E377" s="645"/>
      <c r="F377" s="646"/>
    </row>
    <row r="378" spans="1:6" ht="19.5" hidden="1" customHeight="1" outlineLevel="1" x14ac:dyDescent="0.2">
      <c r="A378" s="642"/>
      <c r="B378" s="643"/>
      <c r="C378" s="644"/>
      <c r="D378" s="645"/>
      <c r="E378" s="645"/>
      <c r="F378" s="646"/>
    </row>
    <row r="379" spans="1:6" ht="19.5" hidden="1" customHeight="1" outlineLevel="1" x14ac:dyDescent="0.2">
      <c r="A379" s="642"/>
      <c r="B379" s="643"/>
      <c r="C379" s="644"/>
      <c r="D379" s="645"/>
      <c r="E379" s="645"/>
      <c r="F379" s="646"/>
    </row>
    <row r="380" spans="1:6" ht="19.5" hidden="1" customHeight="1" outlineLevel="1" x14ac:dyDescent="0.2">
      <c r="A380" s="642"/>
      <c r="B380" s="643"/>
      <c r="C380" s="644"/>
      <c r="D380" s="645"/>
      <c r="E380" s="645"/>
      <c r="F380" s="646"/>
    </row>
    <row r="381" spans="1:6" ht="19.5" hidden="1" customHeight="1" outlineLevel="1" x14ac:dyDescent="0.2">
      <c r="A381" s="642"/>
      <c r="B381" s="643"/>
      <c r="C381" s="644"/>
      <c r="D381" s="645"/>
      <c r="E381" s="645"/>
      <c r="F381" s="646"/>
    </row>
    <row r="382" spans="1:6" ht="19.5" hidden="1" customHeight="1" outlineLevel="1" x14ac:dyDescent="0.2">
      <c r="A382" s="642"/>
      <c r="B382" s="643"/>
      <c r="C382" s="644"/>
      <c r="D382" s="645"/>
      <c r="E382" s="645"/>
      <c r="F382" s="646"/>
    </row>
    <row r="383" spans="1:6" ht="19.5" hidden="1" customHeight="1" outlineLevel="1" x14ac:dyDescent="0.2">
      <c r="A383" s="642"/>
      <c r="B383" s="643"/>
      <c r="C383" s="644"/>
      <c r="D383" s="645"/>
      <c r="E383" s="645"/>
      <c r="F383" s="646"/>
    </row>
    <row r="384" spans="1:6" ht="19.5" hidden="1" customHeight="1" outlineLevel="1" x14ac:dyDescent="0.2">
      <c r="A384" s="642"/>
      <c r="B384" s="643"/>
      <c r="C384" s="644"/>
      <c r="D384" s="645"/>
      <c r="E384" s="645"/>
      <c r="F384" s="646"/>
    </row>
    <row r="385" spans="1:8" ht="19.5" hidden="1" customHeight="1" outlineLevel="1" x14ac:dyDescent="0.2">
      <c r="A385" s="642"/>
      <c r="B385" s="643"/>
      <c r="C385" s="644"/>
      <c r="D385" s="645"/>
      <c r="E385" s="645"/>
      <c r="F385" s="646"/>
    </row>
    <row r="386" spans="1:8" ht="19.5" hidden="1" customHeight="1" outlineLevel="1" x14ac:dyDescent="0.2">
      <c r="A386" s="642"/>
      <c r="B386" s="643"/>
      <c r="C386" s="644"/>
      <c r="D386" s="645"/>
      <c r="E386" s="645"/>
      <c r="F386" s="646"/>
    </row>
    <row r="387" spans="1:8" ht="19.5" hidden="1" customHeight="1" outlineLevel="1" x14ac:dyDescent="0.2">
      <c r="A387" s="642"/>
      <c r="B387" s="643"/>
      <c r="C387" s="644"/>
      <c r="D387" s="645"/>
      <c r="E387" s="645"/>
      <c r="F387" s="646"/>
    </row>
    <row r="388" spans="1:8" ht="19.5" hidden="1" customHeight="1" outlineLevel="1" x14ac:dyDescent="0.2">
      <c r="A388" s="642"/>
      <c r="B388" s="643"/>
      <c r="C388" s="644"/>
      <c r="D388" s="645"/>
      <c r="E388" s="645"/>
      <c r="F388" s="646"/>
    </row>
    <row r="389" spans="1:8" ht="19.5" hidden="1" customHeight="1" outlineLevel="1" x14ac:dyDescent="0.2">
      <c r="A389" s="642"/>
      <c r="B389" s="643"/>
      <c r="C389" s="644"/>
      <c r="D389" s="645"/>
      <c r="E389" s="645"/>
      <c r="F389" s="646"/>
    </row>
    <row r="390" spans="1:8" ht="19.5" hidden="1" customHeight="1" outlineLevel="1" x14ac:dyDescent="0.2">
      <c r="A390" s="642"/>
      <c r="B390" s="643"/>
      <c r="C390" s="644"/>
      <c r="D390" s="645"/>
      <c r="E390" s="645"/>
      <c r="F390" s="646"/>
    </row>
    <row r="391" spans="1:8" ht="19.5" hidden="1" customHeight="1" outlineLevel="1" x14ac:dyDescent="0.2">
      <c r="A391" s="642"/>
      <c r="B391" s="643"/>
      <c r="C391" s="644"/>
      <c r="D391" s="645"/>
      <c r="E391" s="645"/>
      <c r="F391" s="646"/>
    </row>
    <row r="392" spans="1:8" ht="19.5" hidden="1" customHeight="1" outlineLevel="1" x14ac:dyDescent="0.2">
      <c r="A392" s="642"/>
      <c r="B392" s="643"/>
      <c r="C392" s="644"/>
      <c r="D392" s="645"/>
      <c r="E392" s="645"/>
      <c r="F392" s="646"/>
    </row>
    <row r="393" spans="1:8" ht="19.5" hidden="1" customHeight="1" outlineLevel="1" x14ac:dyDescent="0.2">
      <c r="A393" s="642"/>
      <c r="B393" s="643"/>
      <c r="C393" s="644"/>
      <c r="D393" s="645"/>
      <c r="E393" s="645"/>
      <c r="F393" s="646"/>
    </row>
    <row r="394" spans="1:8" ht="19.5" hidden="1" customHeight="1" outlineLevel="1" x14ac:dyDescent="0.2">
      <c r="A394" s="642"/>
      <c r="B394" s="643"/>
      <c r="C394" s="644"/>
      <c r="D394" s="645"/>
      <c r="E394" s="645"/>
      <c r="F394" s="646"/>
    </row>
    <row r="395" spans="1:8" ht="19.5" hidden="1" customHeight="1" outlineLevel="1" x14ac:dyDescent="0.2">
      <c r="A395" s="642"/>
      <c r="B395" s="643"/>
      <c r="C395" s="644"/>
      <c r="D395" s="645"/>
      <c r="E395" s="645"/>
      <c r="F395" s="646"/>
    </row>
    <row r="396" spans="1:8" ht="19.5" hidden="1" customHeight="1" x14ac:dyDescent="0.2">
      <c r="A396" s="642"/>
      <c r="B396" s="643"/>
      <c r="C396" s="644"/>
      <c r="D396" s="645"/>
      <c r="E396" s="645"/>
      <c r="F396" s="646"/>
    </row>
    <row r="397" spans="1:8" s="6" customFormat="1" ht="19.5" hidden="1" customHeight="1" x14ac:dyDescent="0.2">
      <c r="A397" s="642"/>
      <c r="B397" s="642"/>
      <c r="C397" s="646"/>
      <c r="D397" s="646"/>
      <c r="E397" s="646"/>
      <c r="F397" s="646"/>
      <c r="H397" s="7"/>
    </row>
    <row r="398" spans="1:8" ht="25.5" hidden="1" customHeight="1" x14ac:dyDescent="0.2">
      <c r="A398" s="647" t="s">
        <v>492</v>
      </c>
      <c r="B398" s="648"/>
      <c r="C398" s="649" t="s">
        <v>484</v>
      </c>
      <c r="D398" s="650"/>
      <c r="E398" s="645"/>
      <c r="F398" s="646"/>
      <c r="H398" s="19"/>
    </row>
    <row r="399" spans="1:8" ht="19.5" hidden="1" customHeight="1" x14ac:dyDescent="0.2">
      <c r="A399" s="642"/>
      <c r="B399" s="643"/>
      <c r="C399" s="644"/>
      <c r="D399" s="645"/>
      <c r="E399" s="645"/>
      <c r="F399" s="646"/>
    </row>
    <row r="400" spans="1:8" s="12" customFormat="1" ht="19.5" hidden="1" customHeight="1" x14ac:dyDescent="0.2">
      <c r="A400" s="26"/>
      <c r="B400" s="22">
        <v>1</v>
      </c>
      <c r="C400" s="651">
        <v>1</v>
      </c>
      <c r="D400" s="651">
        <v>2</v>
      </c>
      <c r="E400" s="652">
        <v>3</v>
      </c>
      <c r="F400" s="652">
        <v>4</v>
      </c>
      <c r="G400" s="616">
        <v>5</v>
      </c>
      <c r="H400" s="616">
        <v>6</v>
      </c>
    </row>
    <row r="401" spans="1:8" ht="19.5" hidden="1" customHeight="1" x14ac:dyDescent="0.2">
      <c r="A401" s="26"/>
      <c r="B401" s="22">
        <v>2</v>
      </c>
      <c r="C401" s="28" t="s">
        <v>249</v>
      </c>
      <c r="D401" s="28" t="s">
        <v>250</v>
      </c>
      <c r="E401" s="28" t="s">
        <v>909</v>
      </c>
      <c r="F401" s="28" t="s">
        <v>1297</v>
      </c>
      <c r="G401" s="28"/>
      <c r="H401" s="28" t="s">
        <v>1886</v>
      </c>
    </row>
    <row r="402" spans="1:8" ht="19.5" hidden="1" customHeight="1" x14ac:dyDescent="0.2">
      <c r="A402" s="26" t="s">
        <v>683</v>
      </c>
      <c r="B402" s="22">
        <v>3</v>
      </c>
      <c r="C402" s="28" t="s">
        <v>139</v>
      </c>
      <c r="D402" s="28" t="s">
        <v>724</v>
      </c>
      <c r="E402" s="28" t="s">
        <v>910</v>
      </c>
      <c r="F402" s="28" t="s">
        <v>1298</v>
      </c>
      <c r="G402" s="28"/>
      <c r="H402" s="28" t="s">
        <v>1891</v>
      </c>
    </row>
    <row r="403" spans="1:8" ht="19.5" hidden="1" customHeight="1" x14ac:dyDescent="0.2">
      <c r="A403" s="26"/>
      <c r="B403" s="22">
        <v>4</v>
      </c>
      <c r="C403" s="28" t="s">
        <v>482</v>
      </c>
      <c r="D403" s="28" t="s">
        <v>483</v>
      </c>
      <c r="E403" s="28" t="s">
        <v>911</v>
      </c>
      <c r="F403" s="28" t="s">
        <v>1299</v>
      </c>
      <c r="G403" s="28"/>
      <c r="H403" s="28" t="s">
        <v>1892</v>
      </c>
    </row>
    <row r="404" spans="1:8" ht="19.5" hidden="1" customHeight="1" x14ac:dyDescent="0.2">
      <c r="A404" s="26" t="s">
        <v>683</v>
      </c>
      <c r="B404" s="22">
        <v>5</v>
      </c>
      <c r="C404" s="28" t="s">
        <v>138</v>
      </c>
      <c r="D404" s="28" t="s">
        <v>725</v>
      </c>
      <c r="E404" s="28" t="s">
        <v>912</v>
      </c>
      <c r="F404" s="28" t="s">
        <v>1300</v>
      </c>
      <c r="G404" s="28"/>
      <c r="H404" s="28" t="s">
        <v>1893</v>
      </c>
    </row>
    <row r="405" spans="1:8" ht="19.5" hidden="1" customHeight="1" x14ac:dyDescent="0.2">
      <c r="A405" s="26"/>
      <c r="B405" s="22">
        <v>6</v>
      </c>
      <c r="C405" s="28" t="s">
        <v>476</v>
      </c>
      <c r="D405" s="28" t="s">
        <v>474</v>
      </c>
      <c r="E405" s="28" t="s">
        <v>913</v>
      </c>
      <c r="F405" s="28" t="s">
        <v>1301</v>
      </c>
      <c r="G405" s="28"/>
      <c r="H405" s="28" t="s">
        <v>1894</v>
      </c>
    </row>
    <row r="406" spans="1:8" ht="19.5" hidden="1" customHeight="1" x14ac:dyDescent="0.2">
      <c r="A406" s="26"/>
      <c r="B406" s="22">
        <v>7</v>
      </c>
      <c r="C406" s="28" t="s">
        <v>485</v>
      </c>
      <c r="D406" s="28" t="s">
        <v>726</v>
      </c>
      <c r="E406" s="28" t="s">
        <v>914</v>
      </c>
      <c r="F406" s="28" t="s">
        <v>1302</v>
      </c>
      <c r="G406" s="28"/>
      <c r="H406" s="28" t="s">
        <v>1895</v>
      </c>
    </row>
    <row r="407" spans="1:8" ht="19.5" hidden="1" customHeight="1" x14ac:dyDescent="0.2">
      <c r="A407" s="26"/>
      <c r="B407" s="22">
        <v>8</v>
      </c>
      <c r="C407" s="28" t="s">
        <v>13</v>
      </c>
      <c r="D407" s="28" t="s">
        <v>325</v>
      </c>
      <c r="E407" s="28" t="s">
        <v>2682</v>
      </c>
      <c r="F407" s="28" t="s">
        <v>1117</v>
      </c>
      <c r="G407" s="28"/>
      <c r="H407" s="28" t="s">
        <v>1896</v>
      </c>
    </row>
    <row r="408" spans="1:8" ht="19.5" customHeight="1" x14ac:dyDescent="0.2">
      <c r="A408" s="759" t="s">
        <v>2884</v>
      </c>
      <c r="B408" s="22">
        <v>9</v>
      </c>
      <c r="C408" s="28" t="s">
        <v>2880</v>
      </c>
      <c r="D408" s="28" t="s">
        <v>2881</v>
      </c>
      <c r="E408" s="28" t="s">
        <v>2893</v>
      </c>
      <c r="F408" s="28" t="s">
        <v>2902</v>
      </c>
      <c r="G408" s="28"/>
      <c r="H408" s="28" t="s">
        <v>1887</v>
      </c>
    </row>
    <row r="409" spans="1:8" ht="19.5" customHeight="1" x14ac:dyDescent="0.2">
      <c r="A409" s="759" t="s">
        <v>2884</v>
      </c>
      <c r="B409" s="22">
        <v>10</v>
      </c>
      <c r="C409" s="29" t="s">
        <v>2882</v>
      </c>
      <c r="D409" s="603" t="s">
        <v>2883</v>
      </c>
      <c r="E409" s="28" t="s">
        <v>2894</v>
      </c>
      <c r="F409" s="28" t="s">
        <v>2903</v>
      </c>
      <c r="G409" s="28"/>
      <c r="H409" s="28" t="s">
        <v>1888</v>
      </c>
    </row>
    <row r="410" spans="1:8" ht="19.5" hidden="1" customHeight="1" x14ac:dyDescent="0.2">
      <c r="A410" s="26"/>
      <c r="B410" s="22">
        <v>11</v>
      </c>
      <c r="C410" s="29" t="s">
        <v>2776</v>
      </c>
      <c r="D410" s="603" t="s">
        <v>2779</v>
      </c>
      <c r="E410" s="28" t="s">
        <v>915</v>
      </c>
      <c r="F410" s="28" t="s">
        <v>1303</v>
      </c>
      <c r="G410" s="28"/>
      <c r="H410" s="28" t="s">
        <v>1897</v>
      </c>
    </row>
    <row r="411" spans="1:8" ht="19.5" hidden="1" customHeight="1" x14ac:dyDescent="0.2">
      <c r="A411" s="26"/>
      <c r="B411" s="22">
        <v>12</v>
      </c>
      <c r="C411" s="28" t="s">
        <v>2777</v>
      </c>
      <c r="D411" s="28" t="s">
        <v>2778</v>
      </c>
      <c r="E411" s="28" t="s">
        <v>916</v>
      </c>
      <c r="F411" s="28" t="s">
        <v>1304</v>
      </c>
      <c r="G411" s="28"/>
      <c r="H411" s="28" t="s">
        <v>1898</v>
      </c>
    </row>
    <row r="412" spans="1:8" ht="19.5" hidden="1" customHeight="1" x14ac:dyDescent="0.2">
      <c r="A412" s="26"/>
      <c r="B412" s="22">
        <v>13</v>
      </c>
      <c r="C412" s="28"/>
      <c r="D412" s="28"/>
      <c r="E412" s="28"/>
      <c r="F412" s="28"/>
      <c r="G412" s="28"/>
      <c r="H412" s="28" t="s">
        <v>1889</v>
      </c>
    </row>
    <row r="413" spans="1:8" ht="19.5" hidden="1" customHeight="1" x14ac:dyDescent="0.2">
      <c r="A413" s="26"/>
      <c r="B413" s="22">
        <v>14</v>
      </c>
      <c r="C413" s="28"/>
      <c r="D413" s="28"/>
      <c r="E413" s="28"/>
      <c r="F413" s="28"/>
      <c r="G413" s="28"/>
      <c r="H413" s="28" t="s">
        <v>1890</v>
      </c>
    </row>
    <row r="414" spans="1:8" ht="19.5" hidden="1" customHeight="1" x14ac:dyDescent="0.2">
      <c r="A414" s="26"/>
      <c r="B414" s="22">
        <v>15</v>
      </c>
      <c r="C414" s="28" t="s">
        <v>282</v>
      </c>
      <c r="D414" s="28" t="s">
        <v>15</v>
      </c>
      <c r="E414" s="28" t="s">
        <v>917</v>
      </c>
      <c r="F414" s="28" t="s">
        <v>1305</v>
      </c>
      <c r="G414" s="28"/>
      <c r="H414" s="28" t="s">
        <v>1899</v>
      </c>
    </row>
    <row r="415" spans="1:8" ht="19.5" hidden="1" customHeight="1" x14ac:dyDescent="0.2">
      <c r="A415" s="26"/>
      <c r="B415" s="22">
        <v>16</v>
      </c>
      <c r="C415" s="28" t="s">
        <v>280</v>
      </c>
      <c r="D415" s="28" t="s">
        <v>355</v>
      </c>
      <c r="E415" s="28" t="s">
        <v>918</v>
      </c>
      <c r="F415" s="28" t="s">
        <v>1306</v>
      </c>
      <c r="G415" s="28"/>
      <c r="H415" s="28" t="s">
        <v>1900</v>
      </c>
    </row>
    <row r="416" spans="1:8" ht="19.5" hidden="1" customHeight="1" x14ac:dyDescent="0.2">
      <c r="A416" s="26"/>
      <c r="B416" s="22">
        <v>17</v>
      </c>
      <c r="C416" s="28" t="s">
        <v>283</v>
      </c>
      <c r="D416" s="28" t="s">
        <v>14</v>
      </c>
      <c r="E416" s="28" t="s">
        <v>919</v>
      </c>
      <c r="F416" s="28" t="s">
        <v>1307</v>
      </c>
      <c r="G416" s="28"/>
      <c r="H416" s="28" t="s">
        <v>1901</v>
      </c>
    </row>
    <row r="417" spans="1:8" ht="19.5" hidden="1" customHeight="1" x14ac:dyDescent="0.2">
      <c r="A417" s="26"/>
      <c r="B417" s="22">
        <v>18</v>
      </c>
      <c r="C417" s="28" t="s">
        <v>284</v>
      </c>
      <c r="D417" s="28" t="s">
        <v>253</v>
      </c>
      <c r="E417" s="28" t="s">
        <v>920</v>
      </c>
      <c r="F417" s="28" t="s">
        <v>1308</v>
      </c>
      <c r="G417" s="28"/>
      <c r="H417" s="28" t="s">
        <v>1902</v>
      </c>
    </row>
    <row r="418" spans="1:8" ht="19.5" hidden="1" customHeight="1" x14ac:dyDescent="0.2">
      <c r="A418" s="26" t="s">
        <v>2683</v>
      </c>
      <c r="B418" s="22">
        <v>19</v>
      </c>
      <c r="C418" s="28" t="s">
        <v>289</v>
      </c>
      <c r="D418" s="28" t="s">
        <v>252</v>
      </c>
      <c r="E418" s="28" t="s">
        <v>921</v>
      </c>
      <c r="F418" s="28" t="s">
        <v>1309</v>
      </c>
      <c r="G418" s="28"/>
      <c r="H418" s="28" t="s">
        <v>1903</v>
      </c>
    </row>
    <row r="419" spans="1:8" ht="19.5" hidden="1" customHeight="1" x14ac:dyDescent="0.2">
      <c r="A419" s="26" t="s">
        <v>683</v>
      </c>
      <c r="B419" s="22">
        <v>20</v>
      </c>
      <c r="C419" s="28" t="s">
        <v>281</v>
      </c>
      <c r="D419" s="28" t="s">
        <v>727</v>
      </c>
      <c r="E419" s="28" t="s">
        <v>922</v>
      </c>
      <c r="F419" s="28" t="s">
        <v>1310</v>
      </c>
      <c r="G419" s="28"/>
      <c r="H419" s="28" t="s">
        <v>1904</v>
      </c>
    </row>
    <row r="420" spans="1:8" ht="19.5" hidden="1" customHeight="1" x14ac:dyDescent="0.2">
      <c r="A420" s="26" t="s">
        <v>2684</v>
      </c>
      <c r="B420" s="22">
        <v>21</v>
      </c>
      <c r="C420" s="28" t="s">
        <v>285</v>
      </c>
      <c r="D420" s="28" t="s">
        <v>212</v>
      </c>
      <c r="E420" s="28" t="s">
        <v>923</v>
      </c>
      <c r="F420" s="28" t="s">
        <v>1311</v>
      </c>
      <c r="G420" s="28"/>
      <c r="H420" s="28" t="s">
        <v>1905</v>
      </c>
    </row>
    <row r="421" spans="1:8" ht="19.5" hidden="1" customHeight="1" x14ac:dyDescent="0.2">
      <c r="A421" s="26"/>
      <c r="B421" s="22">
        <v>22</v>
      </c>
      <c r="C421" s="28" t="s">
        <v>287</v>
      </c>
      <c r="D421" s="28" t="s">
        <v>255</v>
      </c>
      <c r="E421" s="28" t="s">
        <v>924</v>
      </c>
      <c r="F421" s="28" t="s">
        <v>1312</v>
      </c>
      <c r="G421" s="28"/>
      <c r="H421" s="28" t="s">
        <v>1906</v>
      </c>
    </row>
    <row r="422" spans="1:8" ht="19.5" hidden="1" customHeight="1" x14ac:dyDescent="0.2">
      <c r="A422" s="26"/>
      <c r="B422" s="22">
        <v>23</v>
      </c>
      <c r="C422" s="28" t="s">
        <v>286</v>
      </c>
      <c r="D422" s="28" t="s">
        <v>254</v>
      </c>
      <c r="E422" s="28" t="s">
        <v>925</v>
      </c>
      <c r="F422" s="28" t="s">
        <v>1313</v>
      </c>
      <c r="G422" s="28"/>
      <c r="H422" s="28" t="s">
        <v>1907</v>
      </c>
    </row>
    <row r="423" spans="1:8" ht="19.5" hidden="1" customHeight="1" x14ac:dyDescent="0.2">
      <c r="A423" s="26"/>
      <c r="B423" s="22">
        <v>24</v>
      </c>
      <c r="C423" s="28" t="s">
        <v>288</v>
      </c>
      <c r="D423" s="28" t="s">
        <v>274</v>
      </c>
      <c r="E423" s="28" t="s">
        <v>926</v>
      </c>
      <c r="F423" s="28" t="s">
        <v>1314</v>
      </c>
      <c r="G423" s="28"/>
      <c r="H423" s="28" t="s">
        <v>1908</v>
      </c>
    </row>
    <row r="424" spans="1:8" ht="19.5" hidden="1" customHeight="1" x14ac:dyDescent="0.2">
      <c r="A424" s="26"/>
      <c r="B424" s="22">
        <v>25</v>
      </c>
      <c r="C424" s="28" t="s">
        <v>429</v>
      </c>
      <c r="D424" s="28" t="s">
        <v>430</v>
      </c>
      <c r="E424" s="28" t="s">
        <v>927</v>
      </c>
      <c r="F424" s="28" t="s">
        <v>1315</v>
      </c>
      <c r="G424" s="28"/>
      <c r="H424" s="28" t="s">
        <v>1909</v>
      </c>
    </row>
    <row r="425" spans="1:8" ht="19.5" hidden="1" customHeight="1" x14ac:dyDescent="0.2">
      <c r="A425" s="26"/>
      <c r="B425" s="22">
        <v>26</v>
      </c>
      <c r="C425" s="28" t="s">
        <v>488</v>
      </c>
      <c r="D425" s="28"/>
      <c r="E425" s="28" t="s">
        <v>2685</v>
      </c>
      <c r="F425" s="28" t="s">
        <v>1316</v>
      </c>
      <c r="G425" s="28"/>
      <c r="H425" s="28" t="s">
        <v>1910</v>
      </c>
    </row>
    <row r="426" spans="1:8" ht="19.5" hidden="1" customHeight="1" x14ac:dyDescent="0.2">
      <c r="A426" s="26"/>
      <c r="B426" s="22">
        <v>27</v>
      </c>
      <c r="C426" s="28" t="s">
        <v>16</v>
      </c>
      <c r="D426" s="28" t="s">
        <v>18</v>
      </c>
      <c r="E426" s="28" t="s">
        <v>928</v>
      </c>
      <c r="F426" s="28" t="s">
        <v>1317</v>
      </c>
      <c r="G426" s="28"/>
      <c r="H426" s="28" t="s">
        <v>1911</v>
      </c>
    </row>
    <row r="427" spans="1:8" ht="19.5" hidden="1" customHeight="1" x14ac:dyDescent="0.2">
      <c r="A427" s="26"/>
      <c r="B427" s="22">
        <v>28</v>
      </c>
      <c r="C427" s="28" t="s">
        <v>17</v>
      </c>
      <c r="D427" s="28" t="s">
        <v>19</v>
      </c>
      <c r="E427" s="28" t="s">
        <v>929</v>
      </c>
      <c r="F427" s="28" t="s">
        <v>1318</v>
      </c>
      <c r="G427" s="28"/>
      <c r="H427" s="28" t="s">
        <v>1912</v>
      </c>
    </row>
    <row r="428" spans="1:8" ht="19.5" hidden="1" customHeight="1" x14ac:dyDescent="0.2">
      <c r="A428" s="26"/>
      <c r="B428" s="22">
        <v>29</v>
      </c>
      <c r="C428" s="28"/>
      <c r="D428" s="28"/>
      <c r="E428" s="28"/>
      <c r="F428" s="28"/>
      <c r="G428" s="28"/>
      <c r="H428" s="28" t="s">
        <v>1913</v>
      </c>
    </row>
    <row r="429" spans="1:8" ht="19.5" hidden="1" customHeight="1" x14ac:dyDescent="0.2">
      <c r="A429" s="26"/>
      <c r="B429" s="22">
        <v>30</v>
      </c>
      <c r="C429" s="28"/>
      <c r="D429" s="28"/>
      <c r="E429" s="28"/>
      <c r="F429" s="28"/>
      <c r="G429" s="28"/>
      <c r="H429" s="28" t="s">
        <v>1914</v>
      </c>
    </row>
    <row r="430" spans="1:8" ht="19.5" hidden="1" customHeight="1" x14ac:dyDescent="0.2">
      <c r="A430" s="26" t="s">
        <v>683</v>
      </c>
      <c r="B430" s="22">
        <v>31</v>
      </c>
      <c r="C430" s="28" t="s">
        <v>438</v>
      </c>
      <c r="D430" s="28" t="s">
        <v>728</v>
      </c>
      <c r="E430" s="28" t="s">
        <v>930</v>
      </c>
      <c r="F430" s="28" t="s">
        <v>1319</v>
      </c>
      <c r="G430" s="28"/>
      <c r="H430" s="28" t="s">
        <v>1915</v>
      </c>
    </row>
    <row r="431" spans="1:8" ht="19.5" hidden="1" customHeight="1" x14ac:dyDescent="0.2">
      <c r="A431" s="26" t="s">
        <v>683</v>
      </c>
      <c r="B431" s="22">
        <v>32</v>
      </c>
      <c r="C431" s="28" t="s">
        <v>439</v>
      </c>
      <c r="D431" s="28" t="s">
        <v>729</v>
      </c>
      <c r="E431" s="28" t="s">
        <v>931</v>
      </c>
      <c r="F431" s="28" t="s">
        <v>1320</v>
      </c>
      <c r="G431" s="28"/>
      <c r="H431" s="28" t="s">
        <v>1916</v>
      </c>
    </row>
    <row r="432" spans="1:8" ht="19.5" hidden="1" customHeight="1" x14ac:dyDescent="0.2">
      <c r="A432" s="26" t="s">
        <v>683</v>
      </c>
      <c r="B432" s="22">
        <v>33</v>
      </c>
      <c r="C432" s="28" t="s">
        <v>446</v>
      </c>
      <c r="D432" s="28" t="s">
        <v>730</v>
      </c>
      <c r="E432" s="28" t="s">
        <v>932</v>
      </c>
      <c r="F432" s="28" t="s">
        <v>1321</v>
      </c>
      <c r="G432" s="28"/>
      <c r="H432" s="28" t="s">
        <v>1917</v>
      </c>
    </row>
    <row r="433" spans="1:8" ht="19.5" hidden="1" customHeight="1" x14ac:dyDescent="0.2">
      <c r="A433" s="26" t="s">
        <v>683</v>
      </c>
      <c r="B433" s="22">
        <v>34</v>
      </c>
      <c r="C433" s="28" t="s">
        <v>441</v>
      </c>
      <c r="D433" s="28" t="s">
        <v>731</v>
      </c>
      <c r="E433" s="28" t="s">
        <v>933</v>
      </c>
      <c r="F433" s="28" t="s">
        <v>1322</v>
      </c>
      <c r="G433" s="28"/>
      <c r="H433" s="28" t="s">
        <v>1918</v>
      </c>
    </row>
    <row r="434" spans="1:8" ht="19.5" hidden="1" customHeight="1" x14ac:dyDescent="0.2">
      <c r="A434" s="26"/>
      <c r="B434" s="22">
        <v>35</v>
      </c>
      <c r="C434" s="28" t="s">
        <v>447</v>
      </c>
      <c r="D434" s="28" t="s">
        <v>449</v>
      </c>
      <c r="E434" s="28" t="s">
        <v>934</v>
      </c>
      <c r="F434" s="28" t="s">
        <v>1323</v>
      </c>
      <c r="G434" s="28"/>
      <c r="H434" s="28" t="s">
        <v>1919</v>
      </c>
    </row>
    <row r="435" spans="1:8" ht="19.5" hidden="1" customHeight="1" x14ac:dyDescent="0.2">
      <c r="A435" s="26"/>
      <c r="B435" s="22">
        <v>36</v>
      </c>
      <c r="C435" s="28" t="s">
        <v>448</v>
      </c>
      <c r="D435" s="28" t="s">
        <v>450</v>
      </c>
      <c r="E435" s="28" t="s">
        <v>935</v>
      </c>
      <c r="F435" s="28" t="s">
        <v>1324</v>
      </c>
      <c r="G435" s="28"/>
      <c r="H435" s="28" t="s">
        <v>1920</v>
      </c>
    </row>
    <row r="436" spans="1:8" ht="19.5" hidden="1" customHeight="1" x14ac:dyDescent="0.2">
      <c r="A436" s="26"/>
      <c r="B436" s="22">
        <v>37</v>
      </c>
      <c r="C436" s="28" t="s">
        <v>440</v>
      </c>
      <c r="D436" s="28" t="s">
        <v>732</v>
      </c>
      <c r="E436" s="28" t="s">
        <v>936</v>
      </c>
      <c r="F436" s="28" t="s">
        <v>1325</v>
      </c>
      <c r="G436" s="28"/>
      <c r="H436" s="28" t="s">
        <v>1921</v>
      </c>
    </row>
    <row r="437" spans="1:8" ht="19.5" hidden="1" customHeight="1" x14ac:dyDescent="0.2">
      <c r="A437" s="26"/>
      <c r="B437" s="22">
        <v>38</v>
      </c>
      <c r="C437" s="28"/>
      <c r="D437" s="28"/>
      <c r="E437" s="28"/>
      <c r="F437" s="28"/>
      <c r="G437" s="28"/>
      <c r="H437" s="28" t="s">
        <v>1922</v>
      </c>
    </row>
    <row r="438" spans="1:8" ht="19.5" hidden="1" customHeight="1" x14ac:dyDescent="0.2">
      <c r="A438" s="26"/>
      <c r="B438" s="22">
        <v>39</v>
      </c>
      <c r="C438" s="28"/>
      <c r="D438" s="28"/>
      <c r="E438" s="28"/>
      <c r="F438" s="28"/>
      <c r="G438" s="28"/>
      <c r="H438" s="28" t="s">
        <v>1923</v>
      </c>
    </row>
    <row r="439" spans="1:8" ht="19.5" hidden="1" customHeight="1" x14ac:dyDescent="0.2">
      <c r="A439" s="26"/>
      <c r="B439" s="22">
        <v>40</v>
      </c>
      <c r="C439" s="28" t="s">
        <v>81</v>
      </c>
      <c r="D439" s="28" t="s">
        <v>324</v>
      </c>
      <c r="E439" s="28" t="s">
        <v>937</v>
      </c>
      <c r="F439" s="28" t="s">
        <v>1326</v>
      </c>
      <c r="G439" s="28"/>
      <c r="H439" s="28" t="s">
        <v>1924</v>
      </c>
    </row>
    <row r="440" spans="1:8" ht="19.5" hidden="1" customHeight="1" x14ac:dyDescent="0.2">
      <c r="A440" s="26"/>
      <c r="B440" s="22">
        <v>41</v>
      </c>
      <c r="C440" s="28"/>
      <c r="D440" s="28"/>
      <c r="E440" s="28"/>
      <c r="F440" s="28"/>
      <c r="G440" s="28"/>
      <c r="H440" s="28" t="s">
        <v>1925</v>
      </c>
    </row>
    <row r="441" spans="1:8" ht="19.5" hidden="1" customHeight="1" x14ac:dyDescent="0.2">
      <c r="A441" s="26"/>
      <c r="B441" s="22">
        <v>42</v>
      </c>
      <c r="C441" s="28"/>
      <c r="D441" s="28"/>
      <c r="E441" s="28"/>
      <c r="F441" s="28"/>
      <c r="G441" s="28"/>
      <c r="H441" s="28" t="s">
        <v>1926</v>
      </c>
    </row>
    <row r="442" spans="1:8" ht="19.5" hidden="1" customHeight="1" x14ac:dyDescent="0.2">
      <c r="A442" s="26" t="s">
        <v>683</v>
      </c>
      <c r="B442" s="22">
        <v>43</v>
      </c>
      <c r="C442" s="28" t="s">
        <v>305</v>
      </c>
      <c r="D442" s="28" t="s">
        <v>733</v>
      </c>
      <c r="E442" s="28" t="s">
        <v>938</v>
      </c>
      <c r="F442" s="28" t="s">
        <v>1327</v>
      </c>
      <c r="G442" s="28"/>
      <c r="H442" s="28" t="s">
        <v>1927</v>
      </c>
    </row>
    <row r="443" spans="1:8" ht="19.5" hidden="1" customHeight="1" x14ac:dyDescent="0.2">
      <c r="A443" s="26" t="s">
        <v>683</v>
      </c>
      <c r="B443" s="22">
        <v>44</v>
      </c>
      <c r="C443" s="28" t="s">
        <v>306</v>
      </c>
      <c r="D443" s="28" t="s">
        <v>734</v>
      </c>
      <c r="E443" s="28" t="s">
        <v>939</v>
      </c>
      <c r="F443" s="28" t="s">
        <v>1328</v>
      </c>
      <c r="G443" s="28"/>
      <c r="H443" s="28" t="s">
        <v>1928</v>
      </c>
    </row>
    <row r="444" spans="1:8" ht="19.5" hidden="1" customHeight="1" x14ac:dyDescent="0.2">
      <c r="A444" s="26" t="s">
        <v>683</v>
      </c>
      <c r="B444" s="22">
        <v>45</v>
      </c>
      <c r="C444" s="28" t="s">
        <v>576</v>
      </c>
      <c r="D444" s="28" t="s">
        <v>735</v>
      </c>
      <c r="E444" s="28" t="s">
        <v>940</v>
      </c>
      <c r="F444" s="28" t="s">
        <v>1329</v>
      </c>
      <c r="G444" s="28"/>
      <c r="H444" s="28" t="s">
        <v>1929</v>
      </c>
    </row>
    <row r="445" spans="1:8" ht="19.5" hidden="1" customHeight="1" x14ac:dyDescent="0.2">
      <c r="A445" s="26" t="s">
        <v>683</v>
      </c>
      <c r="B445" s="22">
        <v>46</v>
      </c>
      <c r="C445" s="28" t="s">
        <v>577</v>
      </c>
      <c r="D445" s="28" t="s">
        <v>736</v>
      </c>
      <c r="E445" s="28" t="s">
        <v>941</v>
      </c>
      <c r="F445" s="28" t="s">
        <v>1330</v>
      </c>
      <c r="G445" s="28"/>
      <c r="H445" s="28" t="s">
        <v>1930</v>
      </c>
    </row>
    <row r="446" spans="1:8" ht="19.5" hidden="1" customHeight="1" x14ac:dyDescent="0.2">
      <c r="A446" s="26" t="s">
        <v>683</v>
      </c>
      <c r="B446" s="22">
        <v>47</v>
      </c>
      <c r="C446" s="28" t="s">
        <v>578</v>
      </c>
      <c r="D446" s="28" t="s">
        <v>737</v>
      </c>
      <c r="E446" s="28" t="s">
        <v>942</v>
      </c>
      <c r="F446" s="28" t="s">
        <v>1331</v>
      </c>
      <c r="G446" s="28"/>
      <c r="H446" s="28" t="s">
        <v>1931</v>
      </c>
    </row>
    <row r="447" spans="1:8" ht="19.5" hidden="1" customHeight="1" x14ac:dyDescent="0.2">
      <c r="A447" s="26" t="s">
        <v>683</v>
      </c>
      <c r="B447" s="22">
        <v>48</v>
      </c>
      <c r="C447" s="28" t="s">
        <v>579</v>
      </c>
      <c r="D447" s="28" t="s">
        <v>738</v>
      </c>
      <c r="E447" s="28" t="s">
        <v>943</v>
      </c>
      <c r="F447" s="28" t="s">
        <v>1332</v>
      </c>
      <c r="G447" s="28"/>
      <c r="H447" s="28" t="s">
        <v>1932</v>
      </c>
    </row>
    <row r="448" spans="1:8" ht="19.5" hidden="1" customHeight="1" x14ac:dyDescent="0.2">
      <c r="A448" s="26"/>
      <c r="B448" s="22">
        <v>49</v>
      </c>
      <c r="C448" s="28" t="s">
        <v>307</v>
      </c>
      <c r="D448" s="28" t="s">
        <v>308</v>
      </c>
      <c r="E448" s="28" t="s">
        <v>944</v>
      </c>
      <c r="F448" s="28" t="s">
        <v>1333</v>
      </c>
      <c r="G448" s="28"/>
      <c r="H448" s="28" t="s">
        <v>1933</v>
      </c>
    </row>
    <row r="449" spans="1:8" ht="19.5" hidden="1" customHeight="1" x14ac:dyDescent="0.2">
      <c r="A449" s="26"/>
      <c r="B449" s="22">
        <v>50</v>
      </c>
      <c r="C449" s="28"/>
      <c r="D449" s="28"/>
      <c r="E449" s="28"/>
      <c r="F449" s="28"/>
      <c r="G449" s="28"/>
      <c r="H449" s="28" t="s">
        <v>1934</v>
      </c>
    </row>
    <row r="450" spans="1:8" ht="19.5" hidden="1" customHeight="1" x14ac:dyDescent="0.2">
      <c r="A450" s="26" t="s">
        <v>602</v>
      </c>
      <c r="B450" s="22">
        <v>51</v>
      </c>
      <c r="C450" s="28" t="s">
        <v>2686</v>
      </c>
      <c r="D450" s="28" t="s">
        <v>817</v>
      </c>
      <c r="E450" s="28" t="s">
        <v>2687</v>
      </c>
      <c r="F450" s="28" t="s">
        <v>1334</v>
      </c>
      <c r="G450" s="28"/>
      <c r="H450" s="28" t="s">
        <v>1935</v>
      </c>
    </row>
    <row r="451" spans="1:8" ht="19.5" hidden="1" customHeight="1" x14ac:dyDescent="0.2">
      <c r="A451" s="26" t="s">
        <v>683</v>
      </c>
      <c r="B451" s="22">
        <v>52</v>
      </c>
      <c r="C451" s="28" t="s">
        <v>562</v>
      </c>
      <c r="D451" s="28" t="s">
        <v>739</v>
      </c>
      <c r="E451" s="28" t="s">
        <v>945</v>
      </c>
      <c r="F451" s="28" t="s">
        <v>1335</v>
      </c>
      <c r="G451" s="28"/>
      <c r="H451" s="28" t="s">
        <v>1936</v>
      </c>
    </row>
    <row r="452" spans="1:8" ht="19.5" hidden="1" customHeight="1" x14ac:dyDescent="0.2">
      <c r="A452" s="26" t="s">
        <v>683</v>
      </c>
      <c r="B452" s="22">
        <v>53</v>
      </c>
      <c r="C452" s="28" t="s">
        <v>563</v>
      </c>
      <c r="D452" s="28" t="s">
        <v>740</v>
      </c>
      <c r="E452" s="28" t="s">
        <v>946</v>
      </c>
      <c r="F452" s="28" t="s">
        <v>1336</v>
      </c>
      <c r="G452" s="28"/>
      <c r="H452" s="28" t="s">
        <v>1937</v>
      </c>
    </row>
    <row r="453" spans="1:8" ht="19.5" hidden="1" customHeight="1" x14ac:dyDescent="0.2">
      <c r="A453" s="26" t="s">
        <v>683</v>
      </c>
      <c r="B453" s="22">
        <v>54</v>
      </c>
      <c r="C453" s="28" t="s">
        <v>564</v>
      </c>
      <c r="D453" s="28" t="s">
        <v>741</v>
      </c>
      <c r="E453" s="28" t="s">
        <v>947</v>
      </c>
      <c r="F453" s="28" t="s">
        <v>1337</v>
      </c>
      <c r="G453" s="28"/>
      <c r="H453" s="28" t="s">
        <v>1938</v>
      </c>
    </row>
    <row r="454" spans="1:8" ht="19.5" hidden="1" customHeight="1" x14ac:dyDescent="0.2">
      <c r="A454" s="26" t="s">
        <v>683</v>
      </c>
      <c r="B454" s="22">
        <v>55</v>
      </c>
      <c r="C454" s="28" t="s">
        <v>565</v>
      </c>
      <c r="D454" s="28" t="s">
        <v>742</v>
      </c>
      <c r="E454" s="28" t="s">
        <v>948</v>
      </c>
      <c r="F454" s="28" t="s">
        <v>1338</v>
      </c>
      <c r="G454" s="28"/>
      <c r="H454" s="28" t="s">
        <v>1939</v>
      </c>
    </row>
    <row r="455" spans="1:8" ht="19.5" hidden="1" customHeight="1" x14ac:dyDescent="0.2">
      <c r="A455" s="26" t="s">
        <v>683</v>
      </c>
      <c r="B455" s="22">
        <v>56</v>
      </c>
      <c r="C455" s="28" t="s">
        <v>566</v>
      </c>
      <c r="D455" s="28" t="s">
        <v>743</v>
      </c>
      <c r="E455" s="28" t="s">
        <v>949</v>
      </c>
      <c r="F455" s="28" t="s">
        <v>1339</v>
      </c>
      <c r="G455" s="28"/>
      <c r="H455" s="28" t="s">
        <v>1940</v>
      </c>
    </row>
    <row r="456" spans="1:8" ht="19.5" hidden="1" customHeight="1" x14ac:dyDescent="0.2">
      <c r="A456" s="26"/>
      <c r="B456" s="22">
        <v>57</v>
      </c>
      <c r="C456" s="28"/>
      <c r="D456" s="28"/>
      <c r="E456" s="28"/>
      <c r="F456" s="28"/>
      <c r="G456" s="28"/>
      <c r="H456" s="28" t="s">
        <v>1941</v>
      </c>
    </row>
    <row r="457" spans="1:8" ht="19.5" hidden="1" customHeight="1" x14ac:dyDescent="0.2">
      <c r="A457" s="26"/>
      <c r="B457" s="22">
        <v>58</v>
      </c>
      <c r="C457" s="28"/>
      <c r="D457" s="28"/>
      <c r="E457" s="28"/>
      <c r="F457" s="28"/>
      <c r="G457" s="28"/>
      <c r="H457" s="28" t="s">
        <v>1942</v>
      </c>
    </row>
    <row r="458" spans="1:8" ht="19.5" hidden="1" customHeight="1" x14ac:dyDescent="0.2">
      <c r="A458" s="26"/>
      <c r="B458" s="22">
        <v>59</v>
      </c>
      <c r="C458" s="28" t="s">
        <v>431</v>
      </c>
      <c r="D458" s="28" t="s">
        <v>431</v>
      </c>
      <c r="E458" s="28" t="s">
        <v>431</v>
      </c>
      <c r="F458" s="28" t="s">
        <v>431</v>
      </c>
      <c r="G458" s="28"/>
      <c r="H458" s="28" t="s">
        <v>1943</v>
      </c>
    </row>
    <row r="459" spans="1:8" ht="19.5" hidden="1" customHeight="1" x14ac:dyDescent="0.2">
      <c r="A459" s="26"/>
      <c r="B459" s="22">
        <v>60</v>
      </c>
      <c r="C459" s="28" t="s">
        <v>432</v>
      </c>
      <c r="D459" s="28" t="s">
        <v>432</v>
      </c>
      <c r="E459" s="28" t="s">
        <v>432</v>
      </c>
      <c r="F459" s="28" t="s">
        <v>432</v>
      </c>
      <c r="G459" s="28"/>
      <c r="H459" s="28" t="s">
        <v>1944</v>
      </c>
    </row>
    <row r="460" spans="1:8" ht="19.5" hidden="1" customHeight="1" x14ac:dyDescent="0.2">
      <c r="A460" s="26"/>
      <c r="B460" s="22">
        <v>61</v>
      </c>
      <c r="C460" s="28" t="s">
        <v>433</v>
      </c>
      <c r="D460" s="28" t="s">
        <v>433</v>
      </c>
      <c r="E460" s="28" t="s">
        <v>433</v>
      </c>
      <c r="F460" s="28" t="s">
        <v>433</v>
      </c>
      <c r="G460" s="28"/>
      <c r="H460" s="28" t="s">
        <v>1945</v>
      </c>
    </row>
    <row r="461" spans="1:8" ht="19.5" hidden="1" customHeight="1" x14ac:dyDescent="0.2">
      <c r="A461" s="26"/>
      <c r="B461" s="22">
        <v>62</v>
      </c>
      <c r="C461" s="28" t="s">
        <v>434</v>
      </c>
      <c r="D461" s="28" t="s">
        <v>434</v>
      </c>
      <c r="E461" s="28" t="s">
        <v>434</v>
      </c>
      <c r="F461" s="28" t="s">
        <v>434</v>
      </c>
      <c r="G461" s="28"/>
      <c r="H461" s="28" t="s">
        <v>1946</v>
      </c>
    </row>
    <row r="462" spans="1:8" ht="19.5" hidden="1" customHeight="1" x14ac:dyDescent="0.2">
      <c r="A462" s="26"/>
      <c r="B462" s="22">
        <v>63</v>
      </c>
      <c r="C462" s="28" t="s">
        <v>435</v>
      </c>
      <c r="D462" s="28" t="s">
        <v>445</v>
      </c>
      <c r="E462" s="28" t="s">
        <v>950</v>
      </c>
      <c r="F462" s="28" t="s">
        <v>1340</v>
      </c>
      <c r="G462" s="28"/>
      <c r="H462" s="28" t="s">
        <v>1947</v>
      </c>
    </row>
    <row r="463" spans="1:8" ht="19.5" hidden="1" customHeight="1" x14ac:dyDescent="0.2">
      <c r="A463" s="26"/>
      <c r="B463" s="22">
        <v>64</v>
      </c>
      <c r="C463" s="28" t="s">
        <v>443</v>
      </c>
      <c r="D463" s="28" t="s">
        <v>444</v>
      </c>
      <c r="E463" s="28" t="s">
        <v>951</v>
      </c>
      <c r="F463" s="28" t="s">
        <v>1341</v>
      </c>
      <c r="G463" s="28"/>
      <c r="H463" s="28" t="s">
        <v>1948</v>
      </c>
    </row>
    <row r="464" spans="1:8" ht="19.5" hidden="1" customHeight="1" x14ac:dyDescent="0.2">
      <c r="A464" s="26"/>
      <c r="B464" s="22">
        <v>65</v>
      </c>
      <c r="C464" s="28"/>
      <c r="D464" s="28"/>
      <c r="E464" s="28"/>
      <c r="F464" s="28"/>
      <c r="G464" s="28"/>
      <c r="H464" s="28" t="s">
        <v>1949</v>
      </c>
    </row>
    <row r="465" spans="1:8" ht="19.5" hidden="1" customHeight="1" x14ac:dyDescent="0.2">
      <c r="A465" s="26"/>
      <c r="B465" s="22">
        <v>66</v>
      </c>
      <c r="C465" s="28"/>
      <c r="D465" s="28"/>
      <c r="E465" s="28"/>
      <c r="F465" s="28"/>
      <c r="G465" s="28"/>
      <c r="H465" s="28" t="s">
        <v>1950</v>
      </c>
    </row>
    <row r="466" spans="1:8" ht="19.5" hidden="1" customHeight="1" x14ac:dyDescent="0.2">
      <c r="A466" s="26"/>
      <c r="B466" s="22">
        <v>67</v>
      </c>
      <c r="C466" s="28" t="s">
        <v>309</v>
      </c>
      <c r="D466" s="28" t="s">
        <v>310</v>
      </c>
      <c r="E466" s="28" t="s">
        <v>931</v>
      </c>
      <c r="F466" s="28" t="s">
        <v>1320</v>
      </c>
      <c r="G466" s="28"/>
      <c r="H466" s="28" t="s">
        <v>1951</v>
      </c>
    </row>
    <row r="467" spans="1:8" ht="19.5" hidden="1" customHeight="1" x14ac:dyDescent="0.2">
      <c r="A467" s="26"/>
      <c r="B467" s="22">
        <v>68</v>
      </c>
      <c r="C467" s="28" t="s">
        <v>580</v>
      </c>
      <c r="D467" s="28" t="s">
        <v>311</v>
      </c>
      <c r="E467" s="28" t="s">
        <v>952</v>
      </c>
      <c r="F467" s="28" t="s">
        <v>1342</v>
      </c>
      <c r="G467" s="28"/>
      <c r="H467" s="28" t="s">
        <v>1952</v>
      </c>
    </row>
    <row r="468" spans="1:8" ht="19.5" hidden="1" customHeight="1" x14ac:dyDescent="0.2">
      <c r="A468" s="26"/>
      <c r="B468" s="22">
        <v>69</v>
      </c>
      <c r="C468" s="28" t="s">
        <v>581</v>
      </c>
      <c r="D468" s="28" t="s">
        <v>312</v>
      </c>
      <c r="E468" s="28" t="s">
        <v>950</v>
      </c>
      <c r="F468" s="28" t="s">
        <v>1343</v>
      </c>
      <c r="G468" s="28"/>
      <c r="H468" s="28" t="s">
        <v>1953</v>
      </c>
    </row>
    <row r="469" spans="1:8" ht="19.5" hidden="1" customHeight="1" x14ac:dyDescent="0.2">
      <c r="A469" s="26"/>
      <c r="B469" s="22">
        <v>70</v>
      </c>
      <c r="C469" s="28" t="s">
        <v>582</v>
      </c>
      <c r="D469" s="28" t="s">
        <v>313</v>
      </c>
      <c r="E469" s="28" t="s">
        <v>953</v>
      </c>
      <c r="F469" s="28" t="s">
        <v>1344</v>
      </c>
      <c r="G469" s="28"/>
      <c r="H469" s="28" t="s">
        <v>1954</v>
      </c>
    </row>
    <row r="470" spans="1:8" ht="19.5" hidden="1" customHeight="1" x14ac:dyDescent="0.2">
      <c r="A470" s="26"/>
      <c r="B470" s="22">
        <v>71</v>
      </c>
      <c r="C470" s="28" t="s">
        <v>583</v>
      </c>
      <c r="D470" s="28" t="s">
        <v>314</v>
      </c>
      <c r="E470" s="28" t="s">
        <v>954</v>
      </c>
      <c r="F470" s="28" t="s">
        <v>1345</v>
      </c>
      <c r="G470" s="28"/>
      <c r="H470" s="28" t="s">
        <v>1955</v>
      </c>
    </row>
    <row r="471" spans="1:8" ht="19.5" hidden="1" customHeight="1" x14ac:dyDescent="0.2">
      <c r="A471" s="26"/>
      <c r="B471" s="22">
        <v>72</v>
      </c>
      <c r="C471" s="28" t="s">
        <v>584</v>
      </c>
      <c r="D471" s="28" t="s">
        <v>315</v>
      </c>
      <c r="E471" s="28" t="s">
        <v>955</v>
      </c>
      <c r="F471" s="28" t="s">
        <v>1346</v>
      </c>
      <c r="G471" s="28"/>
      <c r="H471" s="28" t="s">
        <v>1956</v>
      </c>
    </row>
    <row r="472" spans="1:8" ht="19.5" hidden="1" customHeight="1" x14ac:dyDescent="0.2">
      <c r="A472" s="26" t="s">
        <v>683</v>
      </c>
      <c r="B472" s="22">
        <v>73</v>
      </c>
      <c r="C472" s="28" t="s">
        <v>2688</v>
      </c>
      <c r="D472" s="28" t="s">
        <v>744</v>
      </c>
      <c r="E472" s="28" t="s">
        <v>956</v>
      </c>
      <c r="F472" s="28" t="s">
        <v>1347</v>
      </c>
      <c r="G472" s="28"/>
      <c r="H472" s="28" t="s">
        <v>1957</v>
      </c>
    </row>
    <row r="473" spans="1:8" ht="19.5" hidden="1" customHeight="1" x14ac:dyDescent="0.2">
      <c r="A473" s="26"/>
      <c r="B473" s="22">
        <v>74</v>
      </c>
      <c r="C473" s="28" t="s">
        <v>585</v>
      </c>
      <c r="D473" s="28" t="s">
        <v>209</v>
      </c>
      <c r="E473" s="28" t="s">
        <v>957</v>
      </c>
      <c r="F473" s="28" t="s">
        <v>1348</v>
      </c>
      <c r="G473" s="28"/>
      <c r="H473" s="28" t="s">
        <v>1958</v>
      </c>
    </row>
    <row r="474" spans="1:8" ht="19.5" hidden="1" customHeight="1" x14ac:dyDescent="0.2">
      <c r="A474" s="26"/>
      <c r="B474" s="22">
        <v>75</v>
      </c>
      <c r="C474" s="28" t="s">
        <v>586</v>
      </c>
      <c r="D474" s="28" t="s">
        <v>210</v>
      </c>
      <c r="E474" s="28" t="s">
        <v>958</v>
      </c>
      <c r="F474" s="28" t="s">
        <v>1349</v>
      </c>
      <c r="G474" s="28"/>
      <c r="H474" s="28" t="s">
        <v>1959</v>
      </c>
    </row>
    <row r="475" spans="1:8" ht="19.5" hidden="1" customHeight="1" x14ac:dyDescent="0.2">
      <c r="A475" s="26"/>
      <c r="B475" s="22">
        <v>76</v>
      </c>
      <c r="C475" s="28" t="s">
        <v>587</v>
      </c>
      <c r="D475" s="28" t="s">
        <v>211</v>
      </c>
      <c r="E475" s="28" t="s">
        <v>959</v>
      </c>
      <c r="F475" s="28" t="s">
        <v>1350</v>
      </c>
      <c r="G475" s="28"/>
      <c r="H475" s="28" t="s">
        <v>1960</v>
      </c>
    </row>
    <row r="476" spans="1:8" ht="19.5" hidden="1" customHeight="1" x14ac:dyDescent="0.2">
      <c r="A476" s="26"/>
      <c r="B476" s="22">
        <v>77</v>
      </c>
      <c r="C476" s="28" t="s">
        <v>435</v>
      </c>
      <c r="D476" s="28" t="s">
        <v>445</v>
      </c>
      <c r="E476" s="28" t="s">
        <v>950</v>
      </c>
      <c r="F476" s="28" t="s">
        <v>1351</v>
      </c>
      <c r="G476" s="28"/>
      <c r="H476" s="28" t="s">
        <v>1961</v>
      </c>
    </row>
    <row r="477" spans="1:8" ht="19.5" hidden="1" customHeight="1" x14ac:dyDescent="0.2">
      <c r="A477" s="26"/>
      <c r="B477" s="22">
        <v>78</v>
      </c>
      <c r="C477" s="28"/>
      <c r="D477" s="28"/>
      <c r="E477" s="28"/>
      <c r="F477" s="28"/>
      <c r="G477" s="28"/>
      <c r="H477" s="28" t="s">
        <v>1962</v>
      </c>
    </row>
    <row r="478" spans="1:8" ht="19.5" hidden="1" customHeight="1" x14ac:dyDescent="0.2">
      <c r="A478" s="26"/>
      <c r="B478" s="22">
        <v>79</v>
      </c>
      <c r="C478" s="28"/>
      <c r="D478" s="28"/>
      <c r="E478" s="28"/>
      <c r="F478" s="28"/>
      <c r="G478" s="28"/>
      <c r="H478" s="28" t="s">
        <v>1963</v>
      </c>
    </row>
    <row r="479" spans="1:8" ht="19.5" hidden="1" customHeight="1" x14ac:dyDescent="0.2">
      <c r="A479" s="26" t="s">
        <v>683</v>
      </c>
      <c r="B479" s="22">
        <v>80</v>
      </c>
      <c r="C479" s="28" t="s">
        <v>567</v>
      </c>
      <c r="D479" s="28" t="s">
        <v>745</v>
      </c>
      <c r="E479" s="28" t="s">
        <v>960</v>
      </c>
      <c r="F479" s="28" t="s">
        <v>1352</v>
      </c>
      <c r="G479" s="28"/>
      <c r="H479" s="28" t="s">
        <v>1964</v>
      </c>
    </row>
    <row r="480" spans="1:8" ht="19.5" hidden="1" customHeight="1" x14ac:dyDescent="0.2">
      <c r="A480" s="26" t="s">
        <v>683</v>
      </c>
      <c r="B480" s="22">
        <v>81</v>
      </c>
      <c r="C480" s="28" t="s">
        <v>568</v>
      </c>
      <c r="D480" s="28" t="s">
        <v>746</v>
      </c>
      <c r="E480" s="28" t="s">
        <v>961</v>
      </c>
      <c r="F480" s="28" t="s">
        <v>1353</v>
      </c>
      <c r="G480" s="28"/>
      <c r="H480" s="28" t="s">
        <v>1965</v>
      </c>
    </row>
    <row r="481" spans="1:8" ht="19.5" hidden="1" customHeight="1" x14ac:dyDescent="0.2">
      <c r="A481" s="26" t="s">
        <v>683</v>
      </c>
      <c r="B481" s="22">
        <v>82</v>
      </c>
      <c r="C481" s="28" t="s">
        <v>569</v>
      </c>
      <c r="D481" s="28" t="s">
        <v>747</v>
      </c>
      <c r="E481" s="28" t="s">
        <v>962</v>
      </c>
      <c r="F481" s="28" t="s">
        <v>1354</v>
      </c>
      <c r="G481" s="28"/>
      <c r="H481" s="28" t="s">
        <v>1966</v>
      </c>
    </row>
    <row r="482" spans="1:8" ht="19.5" hidden="1" customHeight="1" x14ac:dyDescent="0.2">
      <c r="A482" s="26" t="s">
        <v>683</v>
      </c>
      <c r="B482" s="22">
        <v>83</v>
      </c>
      <c r="C482" s="28" t="s">
        <v>570</v>
      </c>
      <c r="D482" s="28" t="s">
        <v>748</v>
      </c>
      <c r="E482" s="28" t="s">
        <v>963</v>
      </c>
      <c r="F482" s="28" t="s">
        <v>1354</v>
      </c>
      <c r="G482" s="28"/>
      <c r="H482" s="28" t="s">
        <v>1967</v>
      </c>
    </row>
    <row r="483" spans="1:8" ht="19.5" hidden="1" customHeight="1" x14ac:dyDescent="0.2">
      <c r="A483" s="26" t="s">
        <v>683</v>
      </c>
      <c r="B483" s="22">
        <v>84</v>
      </c>
      <c r="C483" s="28" t="s">
        <v>571</v>
      </c>
      <c r="D483" s="28" t="s">
        <v>749</v>
      </c>
      <c r="E483" s="28" t="s">
        <v>964</v>
      </c>
      <c r="F483" s="28" t="s">
        <v>1355</v>
      </c>
      <c r="G483" s="28"/>
      <c r="H483" s="28" t="s">
        <v>1968</v>
      </c>
    </row>
    <row r="484" spans="1:8" ht="19.5" hidden="1" customHeight="1" x14ac:dyDescent="0.2">
      <c r="A484" s="26" t="s">
        <v>683</v>
      </c>
      <c r="B484" s="22">
        <v>85</v>
      </c>
      <c r="C484" s="28" t="s">
        <v>572</v>
      </c>
      <c r="D484" s="28" t="s">
        <v>750</v>
      </c>
      <c r="E484" s="28" t="s">
        <v>965</v>
      </c>
      <c r="F484" s="28" t="s">
        <v>1356</v>
      </c>
      <c r="G484" s="28"/>
      <c r="H484" s="28" t="s">
        <v>1969</v>
      </c>
    </row>
    <row r="485" spans="1:8" ht="19.5" hidden="1" customHeight="1" x14ac:dyDescent="0.2">
      <c r="A485" s="26" t="s">
        <v>683</v>
      </c>
      <c r="B485" s="22">
        <v>86</v>
      </c>
      <c r="C485" s="28" t="s">
        <v>573</v>
      </c>
      <c r="D485" s="28" t="s">
        <v>751</v>
      </c>
      <c r="E485" s="28" t="s">
        <v>966</v>
      </c>
      <c r="F485" s="28" t="s">
        <v>1357</v>
      </c>
      <c r="G485" s="28"/>
      <c r="H485" s="28" t="s">
        <v>1970</v>
      </c>
    </row>
    <row r="486" spans="1:8" ht="19.5" hidden="1" customHeight="1" x14ac:dyDescent="0.2">
      <c r="A486" s="26"/>
      <c r="B486" s="22">
        <v>87</v>
      </c>
      <c r="C486" s="28"/>
      <c r="D486" s="28"/>
      <c r="E486" s="28"/>
      <c r="F486" s="28"/>
      <c r="G486" s="28"/>
      <c r="H486" s="28" t="s">
        <v>1971</v>
      </c>
    </row>
    <row r="487" spans="1:8" ht="19.5" hidden="1" customHeight="1" x14ac:dyDescent="0.2">
      <c r="A487" s="26"/>
      <c r="B487" s="22">
        <v>88</v>
      </c>
      <c r="C487" s="28"/>
      <c r="D487" s="28"/>
      <c r="E487" s="28"/>
      <c r="F487" s="28"/>
      <c r="G487" s="28"/>
      <c r="H487" s="28" t="s">
        <v>1972</v>
      </c>
    </row>
    <row r="488" spans="1:8" ht="19.5" hidden="1" customHeight="1" x14ac:dyDescent="0.2">
      <c r="A488" s="26" t="s">
        <v>2720</v>
      </c>
      <c r="B488" s="22">
        <v>89</v>
      </c>
      <c r="C488" s="28" t="s">
        <v>2715</v>
      </c>
      <c r="D488" s="28" t="s">
        <v>2717</v>
      </c>
      <c r="E488" s="28" t="s">
        <v>2816</v>
      </c>
      <c r="F488" s="28" t="s">
        <v>2817</v>
      </c>
      <c r="G488" s="28"/>
      <c r="H488" s="28" t="s">
        <v>1973</v>
      </c>
    </row>
    <row r="489" spans="1:8" ht="19.5" hidden="1" customHeight="1" x14ac:dyDescent="0.2">
      <c r="A489" s="26" t="s">
        <v>2719</v>
      </c>
      <c r="B489" s="22">
        <v>90</v>
      </c>
      <c r="C489" s="28" t="s">
        <v>2714</v>
      </c>
      <c r="D489" s="28" t="s">
        <v>2716</v>
      </c>
      <c r="E489" s="28" t="s">
        <v>2818</v>
      </c>
      <c r="F489" s="28" t="s">
        <v>2819</v>
      </c>
      <c r="G489" s="28"/>
      <c r="H489" s="28" t="s">
        <v>1974</v>
      </c>
    </row>
    <row r="490" spans="1:8" ht="19.5" hidden="1" customHeight="1" x14ac:dyDescent="0.2">
      <c r="A490" s="26" t="s">
        <v>2719</v>
      </c>
      <c r="B490" s="22">
        <v>91</v>
      </c>
      <c r="C490" s="28" t="s">
        <v>205</v>
      </c>
      <c r="D490" s="28" t="s">
        <v>2718</v>
      </c>
      <c r="E490" s="28" t="s">
        <v>2820</v>
      </c>
      <c r="F490" s="28" t="s">
        <v>2821</v>
      </c>
      <c r="G490" s="28"/>
      <c r="H490" s="28" t="s">
        <v>1975</v>
      </c>
    </row>
    <row r="491" spans="1:8" ht="19.5" hidden="1" customHeight="1" x14ac:dyDescent="0.2">
      <c r="A491" s="26"/>
      <c r="B491" s="22">
        <v>92</v>
      </c>
      <c r="C491" s="28"/>
      <c r="D491" s="28"/>
      <c r="E491" s="28"/>
      <c r="F491" s="28"/>
      <c r="G491" s="28"/>
      <c r="H491" s="28" t="s">
        <v>1976</v>
      </c>
    </row>
    <row r="492" spans="1:8" ht="19.5" hidden="1" customHeight="1" x14ac:dyDescent="0.2">
      <c r="A492" s="26"/>
      <c r="B492" s="22">
        <v>93</v>
      </c>
      <c r="C492" s="28"/>
      <c r="D492" s="28"/>
      <c r="E492" s="28"/>
      <c r="F492" s="28"/>
      <c r="G492" s="28"/>
      <c r="H492" s="28" t="s">
        <v>1977</v>
      </c>
    </row>
    <row r="493" spans="1:8" ht="19.5" hidden="1" customHeight="1" x14ac:dyDescent="0.2">
      <c r="A493" s="26"/>
      <c r="B493" s="22">
        <v>94</v>
      </c>
      <c r="C493" s="28" t="s">
        <v>131</v>
      </c>
      <c r="D493" s="28" t="s">
        <v>235</v>
      </c>
      <c r="E493" s="28" t="s">
        <v>967</v>
      </c>
      <c r="F493" s="28" t="s">
        <v>1358</v>
      </c>
      <c r="G493" s="28"/>
      <c r="H493" s="28" t="s">
        <v>1978</v>
      </c>
    </row>
    <row r="494" spans="1:8" ht="19.5" hidden="1" customHeight="1" x14ac:dyDescent="0.2">
      <c r="A494" s="26" t="s">
        <v>602</v>
      </c>
      <c r="B494" s="22">
        <v>95</v>
      </c>
      <c r="C494" s="28" t="s">
        <v>767</v>
      </c>
      <c r="D494" s="28" t="s">
        <v>764</v>
      </c>
      <c r="E494" s="28" t="s">
        <v>968</v>
      </c>
      <c r="F494" s="28" t="s">
        <v>1359</v>
      </c>
      <c r="G494" s="28"/>
      <c r="H494" s="28" t="s">
        <v>1979</v>
      </c>
    </row>
    <row r="495" spans="1:8" ht="19.5" hidden="1" customHeight="1" x14ac:dyDescent="0.2">
      <c r="A495" s="26" t="s">
        <v>602</v>
      </c>
      <c r="B495" s="22">
        <v>96</v>
      </c>
      <c r="C495" s="28" t="s">
        <v>768</v>
      </c>
      <c r="D495" s="28" t="s">
        <v>765</v>
      </c>
      <c r="E495" s="28" t="s">
        <v>969</v>
      </c>
      <c r="F495" s="28" t="s">
        <v>1360</v>
      </c>
      <c r="G495" s="28"/>
      <c r="H495" s="28" t="s">
        <v>1980</v>
      </c>
    </row>
    <row r="496" spans="1:8" ht="19.5" hidden="1" customHeight="1" x14ac:dyDescent="0.2">
      <c r="A496" s="26" t="s">
        <v>602</v>
      </c>
      <c r="B496" s="22">
        <v>97</v>
      </c>
      <c r="C496" s="28" t="s">
        <v>769</v>
      </c>
      <c r="D496" s="28" t="s">
        <v>766</v>
      </c>
      <c r="E496" s="28" t="s">
        <v>970</v>
      </c>
      <c r="F496" s="28" t="s">
        <v>1361</v>
      </c>
      <c r="G496" s="28"/>
      <c r="H496" s="28" t="s">
        <v>1981</v>
      </c>
    </row>
    <row r="497" spans="1:8" ht="19.5" hidden="1" customHeight="1" x14ac:dyDescent="0.2">
      <c r="A497" s="26"/>
      <c r="B497" s="22">
        <v>98</v>
      </c>
      <c r="C497" s="28"/>
      <c r="D497" s="28"/>
      <c r="E497" s="28"/>
      <c r="F497" s="28"/>
      <c r="G497" s="28"/>
      <c r="H497" s="28" t="s">
        <v>1982</v>
      </c>
    </row>
    <row r="498" spans="1:8" ht="19.5" hidden="1" customHeight="1" x14ac:dyDescent="0.2">
      <c r="A498" s="26"/>
      <c r="B498" s="22">
        <v>99</v>
      </c>
      <c r="C498" s="28"/>
      <c r="D498" s="28"/>
      <c r="E498" s="28"/>
      <c r="F498" s="28"/>
      <c r="G498" s="28"/>
      <c r="H498" s="28" t="s">
        <v>1983</v>
      </c>
    </row>
    <row r="499" spans="1:8" ht="19.5" hidden="1" customHeight="1" x14ac:dyDescent="0.2">
      <c r="A499" s="26"/>
      <c r="B499" s="22">
        <v>100</v>
      </c>
      <c r="C499" s="28" t="s">
        <v>2689</v>
      </c>
      <c r="D499" s="28" t="s">
        <v>2690</v>
      </c>
      <c r="E499" s="28" t="s">
        <v>971</v>
      </c>
      <c r="F499" s="28" t="s">
        <v>1362</v>
      </c>
      <c r="G499" s="28"/>
      <c r="H499" s="28" t="s">
        <v>1984</v>
      </c>
    </row>
    <row r="500" spans="1:8" ht="19.5" hidden="1" customHeight="1" x14ac:dyDescent="0.2">
      <c r="A500" s="26"/>
      <c r="B500" s="22">
        <v>101</v>
      </c>
      <c r="C500" s="28" t="s">
        <v>2691</v>
      </c>
      <c r="D500" s="28" t="s">
        <v>2692</v>
      </c>
      <c r="E500" s="28" t="s">
        <v>972</v>
      </c>
      <c r="F500" s="28" t="s">
        <v>1297</v>
      </c>
      <c r="G500" s="28"/>
      <c r="H500" s="28" t="s">
        <v>1985</v>
      </c>
    </row>
    <row r="501" spans="1:8" ht="20.25" hidden="1" customHeight="1" x14ac:dyDescent="0.2">
      <c r="A501" s="26"/>
      <c r="B501" s="22">
        <v>102</v>
      </c>
      <c r="C501" s="28" t="s">
        <v>2693</v>
      </c>
      <c r="D501" s="28" t="s">
        <v>2694</v>
      </c>
      <c r="E501" s="28" t="s">
        <v>973</v>
      </c>
      <c r="F501" s="28" t="s">
        <v>1363</v>
      </c>
      <c r="G501" s="28"/>
      <c r="H501" s="28" t="s">
        <v>1986</v>
      </c>
    </row>
    <row r="502" spans="1:8" ht="20.25" hidden="1" customHeight="1" x14ac:dyDescent="0.2">
      <c r="A502" s="26"/>
      <c r="B502" s="22">
        <v>103</v>
      </c>
      <c r="C502" s="28" t="s">
        <v>521</v>
      </c>
      <c r="D502" s="28" t="s">
        <v>522</v>
      </c>
      <c r="E502" s="28" t="s">
        <v>974</v>
      </c>
      <c r="F502" s="28" t="s">
        <v>1364</v>
      </c>
      <c r="G502" s="28"/>
      <c r="H502" s="28" t="s">
        <v>1987</v>
      </c>
    </row>
    <row r="503" spans="1:8" ht="20.25" hidden="1" customHeight="1" x14ac:dyDescent="0.2">
      <c r="A503" s="26"/>
      <c r="B503" s="22">
        <v>104</v>
      </c>
      <c r="C503" s="28" t="s">
        <v>523</v>
      </c>
      <c r="D503" s="28" t="s">
        <v>549</v>
      </c>
      <c r="E503" s="28" t="s">
        <v>975</v>
      </c>
      <c r="F503" s="28" t="s">
        <v>1365</v>
      </c>
      <c r="G503" s="28"/>
      <c r="H503" s="28" t="s">
        <v>1988</v>
      </c>
    </row>
    <row r="504" spans="1:8" ht="20.25" hidden="1" customHeight="1" x14ac:dyDescent="0.2">
      <c r="A504" s="26"/>
      <c r="B504" s="22">
        <v>105</v>
      </c>
      <c r="C504" s="28" t="s">
        <v>524</v>
      </c>
      <c r="D504" s="28" t="s">
        <v>550</v>
      </c>
      <c r="E504" s="28" t="s">
        <v>976</v>
      </c>
      <c r="F504" s="28" t="s">
        <v>1366</v>
      </c>
      <c r="G504" s="28"/>
      <c r="H504" s="28" t="s">
        <v>1989</v>
      </c>
    </row>
    <row r="505" spans="1:8" ht="20.25" hidden="1" customHeight="1" x14ac:dyDescent="0.2">
      <c r="A505" s="26"/>
      <c r="B505" s="22">
        <v>106</v>
      </c>
      <c r="C505" s="28" t="s">
        <v>525</v>
      </c>
      <c r="D505" s="28" t="s">
        <v>551</v>
      </c>
      <c r="E505" s="28" t="s">
        <v>977</v>
      </c>
      <c r="F505" s="28" t="s">
        <v>1367</v>
      </c>
      <c r="G505" s="28"/>
      <c r="H505" s="28" t="s">
        <v>1990</v>
      </c>
    </row>
    <row r="506" spans="1:8" ht="20.25" hidden="1" customHeight="1" x14ac:dyDescent="0.2">
      <c r="A506" s="26"/>
      <c r="B506" s="22">
        <v>107</v>
      </c>
      <c r="C506" s="28" t="s">
        <v>526</v>
      </c>
      <c r="D506" s="28" t="s">
        <v>552</v>
      </c>
      <c r="E506" s="28" t="s">
        <v>978</v>
      </c>
      <c r="F506" s="28" t="s">
        <v>1368</v>
      </c>
      <c r="G506" s="28"/>
      <c r="H506" s="28" t="s">
        <v>1991</v>
      </c>
    </row>
    <row r="507" spans="1:8" ht="20.25" hidden="1" customHeight="1" x14ac:dyDescent="0.2">
      <c r="A507" s="26"/>
      <c r="B507" s="22">
        <v>108</v>
      </c>
      <c r="C507" s="28" t="s">
        <v>527</v>
      </c>
      <c r="D507" s="28" t="s">
        <v>553</v>
      </c>
      <c r="E507" s="28" t="s">
        <v>979</v>
      </c>
      <c r="F507" s="28" t="s">
        <v>1369</v>
      </c>
      <c r="G507" s="28"/>
      <c r="H507" s="28" t="s">
        <v>1992</v>
      </c>
    </row>
    <row r="508" spans="1:8" ht="20.25" hidden="1" customHeight="1" x14ac:dyDescent="0.2">
      <c r="A508" s="26" t="s">
        <v>683</v>
      </c>
      <c r="B508" s="22">
        <v>109</v>
      </c>
      <c r="C508" s="28" t="s">
        <v>528</v>
      </c>
      <c r="D508" s="28" t="s">
        <v>752</v>
      </c>
      <c r="E508" s="28" t="s">
        <v>980</v>
      </c>
      <c r="F508" s="28" t="s">
        <v>1370</v>
      </c>
      <c r="G508" s="28"/>
      <c r="H508" s="28" t="s">
        <v>1993</v>
      </c>
    </row>
    <row r="509" spans="1:8" ht="20.25" hidden="1" customHeight="1" x14ac:dyDescent="0.2">
      <c r="A509" s="26" t="s">
        <v>683</v>
      </c>
      <c r="B509" s="22">
        <v>110</v>
      </c>
      <c r="C509" s="28" t="s">
        <v>529</v>
      </c>
      <c r="D509" s="28" t="s">
        <v>753</v>
      </c>
      <c r="E509" s="28" t="s">
        <v>981</v>
      </c>
      <c r="F509" s="28" t="s">
        <v>1371</v>
      </c>
      <c r="G509" s="28"/>
      <c r="H509" s="28" t="s">
        <v>1994</v>
      </c>
    </row>
    <row r="510" spans="1:8" ht="20.25" hidden="1" customHeight="1" x14ac:dyDescent="0.2">
      <c r="A510" s="26" t="s">
        <v>683</v>
      </c>
      <c r="B510" s="22">
        <v>111</v>
      </c>
      <c r="C510" s="28" t="s">
        <v>530</v>
      </c>
      <c r="D510" s="28" t="s">
        <v>754</v>
      </c>
      <c r="E510" s="28" t="s">
        <v>982</v>
      </c>
      <c r="F510" s="28" t="s">
        <v>1372</v>
      </c>
      <c r="G510" s="28"/>
      <c r="H510" s="28" t="s">
        <v>1995</v>
      </c>
    </row>
    <row r="511" spans="1:8" ht="20.25" hidden="1" customHeight="1" x14ac:dyDescent="0.2">
      <c r="A511" s="26" t="s">
        <v>683</v>
      </c>
      <c r="B511" s="22">
        <v>112</v>
      </c>
      <c r="C511" s="28" t="s">
        <v>531</v>
      </c>
      <c r="D511" s="28" t="s">
        <v>755</v>
      </c>
      <c r="E511" s="28" t="s">
        <v>983</v>
      </c>
      <c r="F511" s="28" t="s">
        <v>1373</v>
      </c>
      <c r="G511" s="28"/>
      <c r="H511" s="28" t="s">
        <v>1996</v>
      </c>
    </row>
    <row r="512" spans="1:8" ht="20.25" hidden="1" customHeight="1" x14ac:dyDescent="0.2">
      <c r="A512" s="26" t="s">
        <v>683</v>
      </c>
      <c r="B512" s="22">
        <v>113</v>
      </c>
      <c r="C512" s="28" t="s">
        <v>532</v>
      </c>
      <c r="D512" s="28" t="s">
        <v>756</v>
      </c>
      <c r="E512" s="28" t="s">
        <v>984</v>
      </c>
      <c r="F512" s="28" t="s">
        <v>1374</v>
      </c>
      <c r="G512" s="28"/>
      <c r="H512" s="28" t="s">
        <v>1997</v>
      </c>
    </row>
    <row r="513" spans="1:8" ht="20.25" hidden="1" customHeight="1" x14ac:dyDescent="0.2">
      <c r="A513" s="26"/>
      <c r="B513" s="22">
        <v>114</v>
      </c>
      <c r="C513" s="28" t="s">
        <v>533</v>
      </c>
      <c r="D513" s="28" t="s">
        <v>554</v>
      </c>
      <c r="E513" s="28" t="s">
        <v>985</v>
      </c>
      <c r="F513" s="28" t="s">
        <v>1375</v>
      </c>
      <c r="G513" s="28"/>
      <c r="H513" s="28" t="s">
        <v>1998</v>
      </c>
    </row>
    <row r="514" spans="1:8" ht="20.25" hidden="1" customHeight="1" x14ac:dyDescent="0.2">
      <c r="A514" s="26"/>
      <c r="B514" s="22">
        <v>115</v>
      </c>
      <c r="C514" s="28" t="s">
        <v>534</v>
      </c>
      <c r="D514" s="28" t="s">
        <v>555</v>
      </c>
      <c r="E514" s="28" t="s">
        <v>986</v>
      </c>
      <c r="F514" s="28" t="s">
        <v>1376</v>
      </c>
      <c r="G514" s="28"/>
      <c r="H514" s="28" t="s">
        <v>1999</v>
      </c>
    </row>
    <row r="515" spans="1:8" ht="20.25" hidden="1" customHeight="1" x14ac:dyDescent="0.2">
      <c r="A515" s="26"/>
      <c r="B515" s="22">
        <v>116</v>
      </c>
      <c r="C515" s="28" t="s">
        <v>535</v>
      </c>
      <c r="D515" s="28" t="s">
        <v>556</v>
      </c>
      <c r="E515" s="28" t="s">
        <v>987</v>
      </c>
      <c r="F515" s="28" t="s">
        <v>1377</v>
      </c>
      <c r="G515" s="28"/>
      <c r="H515" s="28" t="s">
        <v>2000</v>
      </c>
    </row>
    <row r="516" spans="1:8" ht="20.25" hidden="1" customHeight="1" x14ac:dyDescent="0.2">
      <c r="A516" s="26"/>
      <c r="B516" s="22">
        <v>117</v>
      </c>
      <c r="C516" s="28" t="s">
        <v>536</v>
      </c>
      <c r="D516" s="28" t="s">
        <v>557</v>
      </c>
      <c r="E516" s="28" t="s">
        <v>988</v>
      </c>
      <c r="F516" s="28" t="s">
        <v>1378</v>
      </c>
      <c r="G516" s="28"/>
      <c r="H516" s="28" t="s">
        <v>2001</v>
      </c>
    </row>
    <row r="517" spans="1:8" ht="20.25" hidden="1" customHeight="1" x14ac:dyDescent="0.2">
      <c r="A517" s="26" t="s">
        <v>683</v>
      </c>
      <c r="B517" s="22">
        <v>118</v>
      </c>
      <c r="C517" s="28" t="s">
        <v>537</v>
      </c>
      <c r="D517" s="28" t="s">
        <v>757</v>
      </c>
      <c r="E517" s="28" t="s">
        <v>989</v>
      </c>
      <c r="F517" s="28" t="s">
        <v>1379</v>
      </c>
      <c r="G517" s="28"/>
      <c r="H517" s="28" t="s">
        <v>2002</v>
      </c>
    </row>
    <row r="518" spans="1:8" ht="20.25" hidden="1" customHeight="1" x14ac:dyDescent="0.2">
      <c r="A518" s="26" t="s">
        <v>683</v>
      </c>
      <c r="B518" s="22">
        <v>119</v>
      </c>
      <c r="C518" s="28" t="s">
        <v>538</v>
      </c>
      <c r="D518" s="28" t="s">
        <v>758</v>
      </c>
      <c r="E518" s="28" t="s">
        <v>990</v>
      </c>
      <c r="F518" s="28" t="s">
        <v>1380</v>
      </c>
      <c r="G518" s="28"/>
      <c r="H518" s="28" t="s">
        <v>2003</v>
      </c>
    </row>
    <row r="519" spans="1:8" ht="20.25" hidden="1" customHeight="1" x14ac:dyDescent="0.2">
      <c r="A519" s="26" t="s">
        <v>683</v>
      </c>
      <c r="B519" s="22">
        <v>120</v>
      </c>
      <c r="C519" s="28" t="s">
        <v>539</v>
      </c>
      <c r="D519" s="28" t="s">
        <v>759</v>
      </c>
      <c r="E519" s="28" t="s">
        <v>991</v>
      </c>
      <c r="F519" s="28" t="s">
        <v>1381</v>
      </c>
      <c r="G519" s="28"/>
      <c r="H519" s="28" t="s">
        <v>2004</v>
      </c>
    </row>
    <row r="520" spans="1:8" ht="20.25" hidden="1" customHeight="1" x14ac:dyDescent="0.2">
      <c r="A520" s="26" t="s">
        <v>683</v>
      </c>
      <c r="B520" s="22">
        <v>121</v>
      </c>
      <c r="C520" s="28" t="s">
        <v>540</v>
      </c>
      <c r="D520" s="28" t="s">
        <v>760</v>
      </c>
      <c r="E520" s="28" t="s">
        <v>992</v>
      </c>
      <c r="F520" s="28" t="s">
        <v>1382</v>
      </c>
      <c r="G520" s="28"/>
      <c r="H520" s="28" t="s">
        <v>2005</v>
      </c>
    </row>
    <row r="521" spans="1:8" ht="20.25" hidden="1" customHeight="1" x14ac:dyDescent="0.2">
      <c r="A521" s="26"/>
      <c r="B521" s="22">
        <v>122</v>
      </c>
      <c r="C521" s="28" t="s">
        <v>541</v>
      </c>
      <c r="D521" s="28" t="s">
        <v>558</v>
      </c>
      <c r="E521" s="28" t="s">
        <v>993</v>
      </c>
      <c r="F521" s="28" t="s">
        <v>1383</v>
      </c>
      <c r="G521" s="28"/>
      <c r="H521" s="28" t="s">
        <v>2006</v>
      </c>
    </row>
    <row r="522" spans="1:8" ht="20.25" hidden="1" customHeight="1" x14ac:dyDescent="0.2">
      <c r="A522" s="26" t="s">
        <v>683</v>
      </c>
      <c r="B522" s="22">
        <v>123</v>
      </c>
      <c r="C522" s="28" t="s">
        <v>542</v>
      </c>
      <c r="D522" s="28" t="s">
        <v>761</v>
      </c>
      <c r="E522" s="28" t="s">
        <v>994</v>
      </c>
      <c r="F522" s="28" t="s">
        <v>1384</v>
      </c>
      <c r="G522" s="28"/>
      <c r="H522" s="28" t="s">
        <v>2007</v>
      </c>
    </row>
    <row r="523" spans="1:8" ht="20.25" hidden="1" customHeight="1" x14ac:dyDescent="0.2">
      <c r="A523" s="26" t="s">
        <v>683</v>
      </c>
      <c r="B523" s="22">
        <v>124</v>
      </c>
      <c r="C523" s="28" t="s">
        <v>543</v>
      </c>
      <c r="D523" s="28" t="s">
        <v>762</v>
      </c>
      <c r="E523" s="28" t="s">
        <v>995</v>
      </c>
      <c r="F523" s="28" t="s">
        <v>1385</v>
      </c>
      <c r="G523" s="28"/>
      <c r="H523" s="28" t="s">
        <v>2008</v>
      </c>
    </row>
    <row r="524" spans="1:8" ht="20.25" hidden="1" customHeight="1" x14ac:dyDescent="0.2">
      <c r="A524" s="26" t="s">
        <v>683</v>
      </c>
      <c r="B524" s="22">
        <v>125</v>
      </c>
      <c r="C524" s="28" t="s">
        <v>544</v>
      </c>
      <c r="D524" s="28" t="s">
        <v>763</v>
      </c>
      <c r="E524" s="28" t="s">
        <v>996</v>
      </c>
      <c r="F524" s="28" t="s">
        <v>1386</v>
      </c>
      <c r="G524" s="28"/>
      <c r="H524" s="28" t="s">
        <v>2009</v>
      </c>
    </row>
    <row r="525" spans="1:8" ht="20.25" hidden="1" customHeight="1" x14ac:dyDescent="0.2">
      <c r="A525" s="26"/>
      <c r="B525" s="22">
        <v>126</v>
      </c>
      <c r="C525" s="28" t="s">
        <v>545</v>
      </c>
      <c r="D525" s="28" t="s">
        <v>559</v>
      </c>
      <c r="E525" s="28" t="s">
        <v>997</v>
      </c>
      <c r="F525" s="28" t="s">
        <v>1387</v>
      </c>
      <c r="G525" s="28"/>
      <c r="H525" s="28" t="s">
        <v>2010</v>
      </c>
    </row>
    <row r="526" spans="1:8" ht="20.25" hidden="1" customHeight="1" x14ac:dyDescent="0.2">
      <c r="A526" s="26"/>
      <c r="B526" s="22">
        <v>127</v>
      </c>
      <c r="C526" s="28" t="s">
        <v>546</v>
      </c>
      <c r="D526" s="28" t="s">
        <v>2695</v>
      </c>
      <c r="E526" s="28" t="s">
        <v>998</v>
      </c>
      <c r="F526" s="28" t="s">
        <v>1388</v>
      </c>
      <c r="G526" s="28"/>
      <c r="H526" s="28" t="s">
        <v>2011</v>
      </c>
    </row>
    <row r="527" spans="1:8" ht="20.25" hidden="1" customHeight="1" x14ac:dyDescent="0.2">
      <c r="A527" s="26"/>
      <c r="B527" s="22">
        <v>128</v>
      </c>
      <c r="C527" s="28" t="s">
        <v>547</v>
      </c>
      <c r="D527" s="28" t="s">
        <v>560</v>
      </c>
      <c r="E527" s="28" t="s">
        <v>999</v>
      </c>
      <c r="F527" s="28" t="s">
        <v>1389</v>
      </c>
      <c r="G527" s="28"/>
      <c r="H527" s="28" t="s">
        <v>2012</v>
      </c>
    </row>
    <row r="528" spans="1:8" ht="20.25" hidden="1" customHeight="1" x14ac:dyDescent="0.2">
      <c r="A528" s="26"/>
      <c r="B528" s="22">
        <v>129</v>
      </c>
      <c r="C528" s="28" t="s">
        <v>548</v>
      </c>
      <c r="D528" s="28" t="s">
        <v>561</v>
      </c>
      <c r="E528" s="28" t="s">
        <v>1000</v>
      </c>
      <c r="F528" s="28" t="s">
        <v>1390</v>
      </c>
      <c r="G528" s="28"/>
      <c r="H528" s="28" t="s">
        <v>2013</v>
      </c>
    </row>
    <row r="529" spans="1:8" ht="20.25" hidden="1" customHeight="1" x14ac:dyDescent="0.2">
      <c r="A529" s="26"/>
      <c r="B529" s="22">
        <v>130</v>
      </c>
      <c r="C529" s="28" t="s">
        <v>144</v>
      </c>
      <c r="D529" s="28" t="s">
        <v>370</v>
      </c>
      <c r="E529" s="28" t="s">
        <v>1001</v>
      </c>
      <c r="F529" s="28" t="s">
        <v>1391</v>
      </c>
      <c r="G529" s="28"/>
      <c r="H529" s="28" t="s">
        <v>2014</v>
      </c>
    </row>
    <row r="530" spans="1:8" ht="20.25" hidden="1" customHeight="1" x14ac:dyDescent="0.2">
      <c r="A530" s="26"/>
      <c r="B530" s="22">
        <v>131</v>
      </c>
      <c r="C530" s="28" t="s">
        <v>145</v>
      </c>
      <c r="D530" s="28" t="s">
        <v>371</v>
      </c>
      <c r="E530" s="28" t="s">
        <v>1002</v>
      </c>
      <c r="F530" s="28" t="s">
        <v>1392</v>
      </c>
      <c r="G530" s="28"/>
      <c r="H530" s="28" t="s">
        <v>2015</v>
      </c>
    </row>
    <row r="531" spans="1:8" ht="20.25" hidden="1" customHeight="1" x14ac:dyDescent="0.2">
      <c r="A531" s="26"/>
      <c r="B531" s="22">
        <v>132</v>
      </c>
      <c r="C531" s="28" t="s">
        <v>146</v>
      </c>
      <c r="D531" s="28" t="s">
        <v>372</v>
      </c>
      <c r="E531" s="28" t="s">
        <v>1003</v>
      </c>
      <c r="F531" s="28" t="s">
        <v>1393</v>
      </c>
      <c r="G531" s="28"/>
      <c r="H531" s="28" t="s">
        <v>2016</v>
      </c>
    </row>
    <row r="532" spans="1:8" ht="20.25" hidden="1" customHeight="1" x14ac:dyDescent="0.2">
      <c r="A532" s="26"/>
      <c r="B532" s="22">
        <v>133</v>
      </c>
      <c r="C532" s="28" t="s">
        <v>147</v>
      </c>
      <c r="D532" s="28" t="s">
        <v>373</v>
      </c>
      <c r="E532" s="28" t="s">
        <v>1004</v>
      </c>
      <c r="F532" s="28" t="s">
        <v>1394</v>
      </c>
      <c r="G532" s="28"/>
      <c r="H532" s="28" t="s">
        <v>2017</v>
      </c>
    </row>
    <row r="533" spans="1:8" ht="20.25" hidden="1" customHeight="1" x14ac:dyDescent="0.2">
      <c r="A533" s="26"/>
      <c r="B533" s="22">
        <v>134</v>
      </c>
      <c r="C533" s="28" t="s">
        <v>148</v>
      </c>
      <c r="D533" s="28" t="s">
        <v>374</v>
      </c>
      <c r="E533" s="28" t="s">
        <v>1005</v>
      </c>
      <c r="F533" s="28" t="s">
        <v>1395</v>
      </c>
      <c r="G533" s="28"/>
      <c r="H533" s="28" t="s">
        <v>2018</v>
      </c>
    </row>
    <row r="534" spans="1:8" ht="20.25" hidden="1" customHeight="1" x14ac:dyDescent="0.2">
      <c r="A534" s="26"/>
      <c r="B534" s="22">
        <v>135</v>
      </c>
      <c r="C534" s="28" t="s">
        <v>149</v>
      </c>
      <c r="D534" s="28" t="s">
        <v>375</v>
      </c>
      <c r="E534" s="28" t="s">
        <v>1006</v>
      </c>
      <c r="F534" s="28" t="s">
        <v>1396</v>
      </c>
      <c r="G534" s="28"/>
      <c r="H534" s="28" t="s">
        <v>2019</v>
      </c>
    </row>
    <row r="535" spans="1:8" ht="20.25" hidden="1" customHeight="1" x14ac:dyDescent="0.2">
      <c r="A535" s="26"/>
      <c r="B535" s="22">
        <v>136</v>
      </c>
      <c r="C535" s="28" t="s">
        <v>150</v>
      </c>
      <c r="D535" s="28" t="s">
        <v>376</v>
      </c>
      <c r="E535" s="28" t="s">
        <v>1007</v>
      </c>
      <c r="F535" s="28" t="s">
        <v>1397</v>
      </c>
      <c r="G535" s="28"/>
      <c r="H535" s="28" t="s">
        <v>2020</v>
      </c>
    </row>
    <row r="536" spans="1:8" ht="20.25" hidden="1" customHeight="1" x14ac:dyDescent="0.2">
      <c r="A536" s="26"/>
      <c r="B536" s="22">
        <v>137</v>
      </c>
      <c r="C536" s="28" t="s">
        <v>40</v>
      </c>
      <c r="D536" s="28" t="s">
        <v>41</v>
      </c>
      <c r="E536" s="28" t="s">
        <v>1008</v>
      </c>
      <c r="F536" s="28" t="s">
        <v>1398</v>
      </c>
      <c r="G536" s="28"/>
      <c r="H536" s="28" t="s">
        <v>2021</v>
      </c>
    </row>
    <row r="537" spans="1:8" ht="20.25" hidden="1" customHeight="1" x14ac:dyDescent="0.2">
      <c r="A537" s="26"/>
      <c r="B537" s="22">
        <v>138</v>
      </c>
      <c r="C537" s="28" t="s">
        <v>151</v>
      </c>
      <c r="D537" s="28" t="s">
        <v>377</v>
      </c>
      <c r="E537" s="28" t="s">
        <v>1009</v>
      </c>
      <c r="F537" s="28" t="s">
        <v>1399</v>
      </c>
      <c r="G537" s="28"/>
      <c r="H537" s="28" t="s">
        <v>2022</v>
      </c>
    </row>
    <row r="538" spans="1:8" ht="20.25" hidden="1" customHeight="1" x14ac:dyDescent="0.2">
      <c r="A538" s="26"/>
      <c r="B538" s="22">
        <v>139</v>
      </c>
      <c r="C538" s="28" t="s">
        <v>152</v>
      </c>
      <c r="D538" s="28" t="s">
        <v>378</v>
      </c>
      <c r="E538" s="28" t="s">
        <v>1010</v>
      </c>
      <c r="F538" s="28" t="s">
        <v>1400</v>
      </c>
      <c r="G538" s="28"/>
      <c r="H538" s="28" t="s">
        <v>2023</v>
      </c>
    </row>
    <row r="539" spans="1:8" ht="20.25" hidden="1" customHeight="1" x14ac:dyDescent="0.2">
      <c r="A539" s="26"/>
      <c r="B539" s="22">
        <v>140</v>
      </c>
      <c r="C539" s="28" t="s">
        <v>153</v>
      </c>
      <c r="D539" s="28" t="s">
        <v>379</v>
      </c>
      <c r="E539" s="28" t="s">
        <v>1011</v>
      </c>
      <c r="F539" s="28" t="s">
        <v>1401</v>
      </c>
      <c r="G539" s="28"/>
      <c r="H539" s="28" t="s">
        <v>2024</v>
      </c>
    </row>
    <row r="540" spans="1:8" ht="20.25" hidden="1" customHeight="1" x14ac:dyDescent="0.2">
      <c r="A540" s="26"/>
      <c r="B540" s="22">
        <v>141</v>
      </c>
      <c r="C540" s="28" t="s">
        <v>154</v>
      </c>
      <c r="D540" s="28" t="s">
        <v>380</v>
      </c>
      <c r="E540" s="28" t="s">
        <v>1012</v>
      </c>
      <c r="F540" s="28" t="s">
        <v>1402</v>
      </c>
      <c r="G540" s="28"/>
      <c r="H540" s="28" t="s">
        <v>2025</v>
      </c>
    </row>
    <row r="541" spans="1:8" ht="20.25" hidden="1" customHeight="1" x14ac:dyDescent="0.2">
      <c r="A541" s="26"/>
      <c r="B541" s="22">
        <v>142</v>
      </c>
      <c r="C541" s="28" t="s">
        <v>155</v>
      </c>
      <c r="D541" s="28" t="s">
        <v>381</v>
      </c>
      <c r="E541" s="28" t="s">
        <v>1013</v>
      </c>
      <c r="F541" s="28" t="s">
        <v>1403</v>
      </c>
      <c r="G541" s="28"/>
      <c r="H541" s="28" t="s">
        <v>2026</v>
      </c>
    </row>
    <row r="542" spans="1:8" ht="20.25" hidden="1" customHeight="1" x14ac:dyDescent="0.2">
      <c r="A542" s="26"/>
      <c r="B542" s="22">
        <v>143</v>
      </c>
      <c r="C542" s="28" t="s">
        <v>156</v>
      </c>
      <c r="D542" s="28" t="s">
        <v>382</v>
      </c>
      <c r="E542" s="28" t="s">
        <v>1014</v>
      </c>
      <c r="F542" s="28" t="s">
        <v>1404</v>
      </c>
      <c r="G542" s="28"/>
      <c r="H542" s="28" t="s">
        <v>2027</v>
      </c>
    </row>
    <row r="543" spans="1:8" ht="20.25" hidden="1" customHeight="1" x14ac:dyDescent="0.2">
      <c r="A543" s="26"/>
      <c r="B543" s="22">
        <v>144</v>
      </c>
      <c r="C543" s="28" t="s">
        <v>157</v>
      </c>
      <c r="D543" s="28" t="s">
        <v>383</v>
      </c>
      <c r="E543" s="28" t="s">
        <v>1015</v>
      </c>
      <c r="F543" s="28" t="s">
        <v>1405</v>
      </c>
      <c r="G543" s="28"/>
      <c r="H543" s="28" t="s">
        <v>2028</v>
      </c>
    </row>
    <row r="544" spans="1:8" ht="20.25" hidden="1" customHeight="1" x14ac:dyDescent="0.2">
      <c r="A544" s="26"/>
      <c r="B544" s="22">
        <v>145</v>
      </c>
      <c r="C544" s="28" t="s">
        <v>158</v>
      </c>
      <c r="D544" s="28" t="s">
        <v>384</v>
      </c>
      <c r="E544" s="28" t="s">
        <v>1016</v>
      </c>
      <c r="F544" s="28" t="s">
        <v>1406</v>
      </c>
      <c r="G544" s="28"/>
      <c r="H544" s="28" t="s">
        <v>2029</v>
      </c>
    </row>
    <row r="545" spans="1:8" ht="20.25" hidden="1" customHeight="1" x14ac:dyDescent="0.2">
      <c r="A545" s="26"/>
      <c r="B545" s="22">
        <v>146</v>
      </c>
      <c r="C545" s="28" t="s">
        <v>159</v>
      </c>
      <c r="D545" s="28" t="s">
        <v>385</v>
      </c>
      <c r="E545" s="28" t="s">
        <v>1017</v>
      </c>
      <c r="F545" s="28" t="s">
        <v>1407</v>
      </c>
      <c r="G545" s="28"/>
      <c r="H545" s="28" t="s">
        <v>2030</v>
      </c>
    </row>
    <row r="546" spans="1:8" ht="20.25" hidden="1" customHeight="1" x14ac:dyDescent="0.2">
      <c r="A546" s="26"/>
      <c r="B546" s="22">
        <v>147</v>
      </c>
      <c r="C546" s="28" t="s">
        <v>160</v>
      </c>
      <c r="D546" s="28" t="s">
        <v>386</v>
      </c>
      <c r="E546" s="28" t="s">
        <v>1018</v>
      </c>
      <c r="F546" s="28" t="s">
        <v>1408</v>
      </c>
      <c r="G546" s="28"/>
      <c r="H546" s="28" t="s">
        <v>2031</v>
      </c>
    </row>
    <row r="547" spans="1:8" ht="20.25" hidden="1" customHeight="1" x14ac:dyDescent="0.2">
      <c r="A547" s="26"/>
      <c r="B547" s="22">
        <v>148</v>
      </c>
      <c r="C547" s="28" t="s">
        <v>423</v>
      </c>
      <c r="D547" s="28" t="s">
        <v>424</v>
      </c>
      <c r="E547" s="28" t="s">
        <v>1019</v>
      </c>
      <c r="F547" s="28" t="s">
        <v>1409</v>
      </c>
      <c r="G547" s="28"/>
      <c r="H547" s="28" t="s">
        <v>2032</v>
      </c>
    </row>
    <row r="548" spans="1:8" ht="20.25" hidden="1" customHeight="1" x14ac:dyDescent="0.2">
      <c r="A548" s="26"/>
      <c r="B548" s="22">
        <v>149</v>
      </c>
      <c r="C548" s="28" t="s">
        <v>161</v>
      </c>
      <c r="D548" s="28" t="s">
        <v>387</v>
      </c>
      <c r="E548" s="28" t="s">
        <v>1020</v>
      </c>
      <c r="F548" s="28" t="s">
        <v>1410</v>
      </c>
      <c r="G548" s="28"/>
      <c r="H548" s="28" t="s">
        <v>2033</v>
      </c>
    </row>
    <row r="549" spans="1:8" ht="20.25" hidden="1" customHeight="1" x14ac:dyDescent="0.2">
      <c r="A549" s="26"/>
      <c r="B549" s="22">
        <v>150</v>
      </c>
      <c r="C549" s="28" t="s">
        <v>162</v>
      </c>
      <c r="D549" s="28" t="s">
        <v>388</v>
      </c>
      <c r="E549" s="28" t="s">
        <v>1021</v>
      </c>
      <c r="F549" s="28" t="s">
        <v>1411</v>
      </c>
      <c r="G549" s="28"/>
      <c r="H549" s="28" t="s">
        <v>2034</v>
      </c>
    </row>
    <row r="550" spans="1:8" ht="20.25" hidden="1" customHeight="1" x14ac:dyDescent="0.2">
      <c r="A550" s="26"/>
      <c r="B550" s="22">
        <v>151</v>
      </c>
      <c r="C550" s="28" t="s">
        <v>163</v>
      </c>
      <c r="D550" s="28" t="s">
        <v>389</v>
      </c>
      <c r="E550" s="28" t="s">
        <v>1022</v>
      </c>
      <c r="F550" s="28" t="s">
        <v>1412</v>
      </c>
      <c r="G550" s="28"/>
      <c r="H550" s="28" t="s">
        <v>2035</v>
      </c>
    </row>
    <row r="551" spans="1:8" ht="20.25" hidden="1" customHeight="1" x14ac:dyDescent="0.2">
      <c r="A551" s="26"/>
      <c r="B551" s="22">
        <v>152</v>
      </c>
      <c r="C551" s="28" t="s">
        <v>164</v>
      </c>
      <c r="D551" s="28" t="s">
        <v>390</v>
      </c>
      <c r="E551" s="28" t="s">
        <v>1023</v>
      </c>
      <c r="F551" s="28" t="s">
        <v>1413</v>
      </c>
      <c r="G551" s="28"/>
      <c r="H551" s="28" t="s">
        <v>2036</v>
      </c>
    </row>
    <row r="552" spans="1:8" ht="20.25" hidden="1" customHeight="1" x14ac:dyDescent="0.2">
      <c r="A552" s="26"/>
      <c r="B552" s="22">
        <v>153</v>
      </c>
      <c r="C552" s="28" t="s">
        <v>165</v>
      </c>
      <c r="D552" s="28" t="s">
        <v>391</v>
      </c>
      <c r="E552" s="28" t="s">
        <v>1024</v>
      </c>
      <c r="F552" s="28" t="s">
        <v>1414</v>
      </c>
      <c r="G552" s="28"/>
      <c r="H552" s="28" t="s">
        <v>2037</v>
      </c>
    </row>
    <row r="553" spans="1:8" ht="20.25" hidden="1" customHeight="1" x14ac:dyDescent="0.2">
      <c r="A553" s="26"/>
      <c r="B553" s="22">
        <v>154</v>
      </c>
      <c r="C553" s="28" t="s">
        <v>417</v>
      </c>
      <c r="D553" s="28" t="s">
        <v>418</v>
      </c>
      <c r="E553" s="28" t="s">
        <v>1025</v>
      </c>
      <c r="F553" s="28" t="s">
        <v>1415</v>
      </c>
      <c r="G553" s="28"/>
      <c r="H553" s="28" t="s">
        <v>2038</v>
      </c>
    </row>
    <row r="554" spans="1:8" ht="20.25" hidden="1" customHeight="1" x14ac:dyDescent="0.2">
      <c r="A554" s="26"/>
      <c r="B554" s="22">
        <v>155</v>
      </c>
      <c r="C554" s="28" t="s">
        <v>166</v>
      </c>
      <c r="D554" s="28" t="s">
        <v>392</v>
      </c>
      <c r="E554" s="28" t="s">
        <v>1026</v>
      </c>
      <c r="F554" s="28" t="s">
        <v>1416</v>
      </c>
      <c r="G554" s="28"/>
      <c r="H554" s="28" t="s">
        <v>2039</v>
      </c>
    </row>
    <row r="555" spans="1:8" ht="20.25" hidden="1" customHeight="1" x14ac:dyDescent="0.2">
      <c r="A555" s="26"/>
      <c r="B555" s="22">
        <v>156</v>
      </c>
      <c r="C555" s="28" t="s">
        <v>167</v>
      </c>
      <c r="D555" s="28" t="s">
        <v>393</v>
      </c>
      <c r="E555" s="28" t="s">
        <v>1027</v>
      </c>
      <c r="F555" s="28" t="s">
        <v>1417</v>
      </c>
      <c r="G555" s="28"/>
      <c r="H555" s="28" t="s">
        <v>2040</v>
      </c>
    </row>
    <row r="556" spans="1:8" ht="20.25" hidden="1" customHeight="1" x14ac:dyDescent="0.2">
      <c r="A556" s="26"/>
      <c r="B556" s="22">
        <v>157</v>
      </c>
      <c r="C556" s="28" t="s">
        <v>168</v>
      </c>
      <c r="D556" s="28" t="s">
        <v>394</v>
      </c>
      <c r="E556" s="28" t="s">
        <v>1028</v>
      </c>
      <c r="F556" s="28" t="s">
        <v>1418</v>
      </c>
      <c r="G556" s="28"/>
      <c r="H556" s="28" t="s">
        <v>2041</v>
      </c>
    </row>
    <row r="557" spans="1:8" ht="20.25" hidden="1" customHeight="1" x14ac:dyDescent="0.2">
      <c r="A557" s="26"/>
      <c r="B557" s="22">
        <v>158</v>
      </c>
      <c r="C557" s="28" t="s">
        <v>169</v>
      </c>
      <c r="D557" s="28" t="s">
        <v>395</v>
      </c>
      <c r="E557" s="28" t="s">
        <v>1029</v>
      </c>
      <c r="F557" s="28" t="s">
        <v>1419</v>
      </c>
      <c r="G557" s="28"/>
      <c r="H557" s="28" t="s">
        <v>2042</v>
      </c>
    </row>
    <row r="558" spans="1:8" ht="20.25" hidden="1" customHeight="1" x14ac:dyDescent="0.2">
      <c r="A558" s="26"/>
      <c r="B558" s="22">
        <v>159</v>
      </c>
      <c r="C558" s="28" t="s">
        <v>170</v>
      </c>
      <c r="D558" s="28" t="s">
        <v>396</v>
      </c>
      <c r="E558" s="28" t="s">
        <v>1030</v>
      </c>
      <c r="F558" s="28" t="s">
        <v>1420</v>
      </c>
      <c r="G558" s="28"/>
      <c r="H558" s="28" t="s">
        <v>2043</v>
      </c>
    </row>
    <row r="559" spans="1:8" ht="20.25" hidden="1" customHeight="1" x14ac:dyDescent="0.2">
      <c r="A559" s="26"/>
      <c r="B559" s="22">
        <v>160</v>
      </c>
      <c r="C559" s="28" t="s">
        <v>171</v>
      </c>
      <c r="D559" s="28" t="s">
        <v>397</v>
      </c>
      <c r="E559" s="28" t="s">
        <v>1031</v>
      </c>
      <c r="F559" s="28" t="s">
        <v>1421</v>
      </c>
      <c r="G559" s="28"/>
      <c r="H559" s="28" t="s">
        <v>2044</v>
      </c>
    </row>
    <row r="560" spans="1:8" ht="20.25" hidden="1" customHeight="1" x14ac:dyDescent="0.2">
      <c r="A560" s="26"/>
      <c r="B560" s="22">
        <v>161</v>
      </c>
      <c r="C560" s="28" t="s">
        <v>172</v>
      </c>
      <c r="D560" s="28" t="s">
        <v>398</v>
      </c>
      <c r="E560" s="28" t="s">
        <v>1032</v>
      </c>
      <c r="F560" s="28" t="s">
        <v>1422</v>
      </c>
      <c r="G560" s="28"/>
      <c r="H560" s="28" t="s">
        <v>2045</v>
      </c>
    </row>
    <row r="561" spans="1:8" ht="20.25" hidden="1" customHeight="1" x14ac:dyDescent="0.2">
      <c r="A561" s="26"/>
      <c r="B561" s="22">
        <v>162</v>
      </c>
      <c r="C561" s="28" t="s">
        <v>173</v>
      </c>
      <c r="D561" s="28" t="s">
        <v>399</v>
      </c>
      <c r="E561" s="28" t="s">
        <v>1033</v>
      </c>
      <c r="F561" s="28" t="s">
        <v>1423</v>
      </c>
      <c r="G561" s="28"/>
      <c r="H561" s="28" t="s">
        <v>2046</v>
      </c>
    </row>
    <row r="562" spans="1:8" ht="20.25" hidden="1" customHeight="1" x14ac:dyDescent="0.2">
      <c r="A562" s="26"/>
      <c r="B562" s="22">
        <v>163</v>
      </c>
      <c r="C562" s="28" t="s">
        <v>174</v>
      </c>
      <c r="D562" s="28" t="s">
        <v>0</v>
      </c>
      <c r="E562" s="28" t="s">
        <v>1034</v>
      </c>
      <c r="F562" s="28" t="s">
        <v>1424</v>
      </c>
      <c r="G562" s="28"/>
      <c r="H562" s="28" t="s">
        <v>2047</v>
      </c>
    </row>
    <row r="563" spans="1:8" ht="20.25" hidden="1" customHeight="1" x14ac:dyDescent="0.2">
      <c r="A563" s="26"/>
      <c r="B563" s="22">
        <v>164</v>
      </c>
      <c r="C563" s="28" t="s">
        <v>175</v>
      </c>
      <c r="D563" s="28" t="s">
        <v>400</v>
      </c>
      <c r="E563" s="28" t="s">
        <v>1035</v>
      </c>
      <c r="F563" s="28" t="s">
        <v>1425</v>
      </c>
      <c r="G563" s="28"/>
      <c r="H563" s="28" t="s">
        <v>2048</v>
      </c>
    </row>
    <row r="564" spans="1:8" ht="20.25" hidden="1" customHeight="1" x14ac:dyDescent="0.2">
      <c r="A564" s="26"/>
      <c r="B564" s="22">
        <v>165</v>
      </c>
      <c r="C564" s="28" t="s">
        <v>176</v>
      </c>
      <c r="D564" s="28" t="s">
        <v>401</v>
      </c>
      <c r="E564" s="28" t="s">
        <v>1036</v>
      </c>
      <c r="F564" s="28" t="s">
        <v>1426</v>
      </c>
      <c r="G564" s="28"/>
      <c r="H564" s="28" t="s">
        <v>2049</v>
      </c>
    </row>
    <row r="565" spans="1:8" ht="20.25" hidden="1" customHeight="1" x14ac:dyDescent="0.2">
      <c r="A565" s="26"/>
      <c r="B565" s="22">
        <v>166</v>
      </c>
      <c r="C565" s="28" t="s">
        <v>402</v>
      </c>
      <c r="D565" s="28" t="s">
        <v>403</v>
      </c>
      <c r="E565" s="28" t="s">
        <v>1037</v>
      </c>
      <c r="F565" s="28" t="s">
        <v>1427</v>
      </c>
      <c r="G565" s="28"/>
      <c r="H565" s="28" t="s">
        <v>2050</v>
      </c>
    </row>
    <row r="566" spans="1:8" ht="20.25" hidden="1" customHeight="1" x14ac:dyDescent="0.2">
      <c r="A566" s="26"/>
      <c r="B566" s="22">
        <v>167</v>
      </c>
      <c r="C566" s="28" t="s">
        <v>177</v>
      </c>
      <c r="D566" s="28" t="s">
        <v>404</v>
      </c>
      <c r="E566" s="28" t="s">
        <v>1038</v>
      </c>
      <c r="F566" s="28" t="s">
        <v>1428</v>
      </c>
      <c r="G566" s="28"/>
      <c r="H566" s="28" t="s">
        <v>2051</v>
      </c>
    </row>
    <row r="567" spans="1:8" ht="20.25" hidden="1" customHeight="1" x14ac:dyDescent="0.2">
      <c r="A567" s="26"/>
      <c r="B567" s="22">
        <v>168</v>
      </c>
      <c r="C567" s="28" t="s">
        <v>178</v>
      </c>
      <c r="D567" s="28" t="s">
        <v>405</v>
      </c>
      <c r="E567" s="28" t="s">
        <v>1039</v>
      </c>
      <c r="F567" s="28" t="s">
        <v>1429</v>
      </c>
      <c r="G567" s="28"/>
      <c r="H567" s="28" t="s">
        <v>2052</v>
      </c>
    </row>
    <row r="568" spans="1:8" ht="20.25" hidden="1" customHeight="1" x14ac:dyDescent="0.2">
      <c r="A568" s="26"/>
      <c r="B568" s="22">
        <v>169</v>
      </c>
      <c r="C568" s="28" t="s">
        <v>290</v>
      </c>
      <c r="D568" s="28" t="s">
        <v>406</v>
      </c>
      <c r="E568" s="28" t="s">
        <v>1040</v>
      </c>
      <c r="F568" s="28" t="s">
        <v>1430</v>
      </c>
      <c r="G568" s="28"/>
      <c r="H568" s="28" t="s">
        <v>2053</v>
      </c>
    </row>
    <row r="569" spans="1:8" ht="20.25" hidden="1" customHeight="1" x14ac:dyDescent="0.2">
      <c r="A569" s="26"/>
      <c r="B569" s="22">
        <v>170</v>
      </c>
      <c r="C569" s="28" t="s">
        <v>179</v>
      </c>
      <c r="D569" s="28" t="s">
        <v>407</v>
      </c>
      <c r="E569" s="28" t="s">
        <v>1041</v>
      </c>
      <c r="F569" s="28" t="s">
        <v>1431</v>
      </c>
      <c r="G569" s="28"/>
      <c r="H569" s="28" t="s">
        <v>2054</v>
      </c>
    </row>
    <row r="570" spans="1:8" ht="20.25" hidden="1" customHeight="1" x14ac:dyDescent="0.2">
      <c r="A570" s="26"/>
      <c r="B570" s="22">
        <v>171</v>
      </c>
      <c r="C570" s="28" t="s">
        <v>180</v>
      </c>
      <c r="D570" s="28" t="s">
        <v>1</v>
      </c>
      <c r="E570" s="28" t="s">
        <v>1042</v>
      </c>
      <c r="F570" s="28" t="s">
        <v>1432</v>
      </c>
      <c r="G570" s="28"/>
      <c r="H570" s="28" t="s">
        <v>2055</v>
      </c>
    </row>
    <row r="571" spans="1:8" ht="20.25" hidden="1" customHeight="1" x14ac:dyDescent="0.2">
      <c r="A571" s="26"/>
      <c r="B571" s="22">
        <v>172</v>
      </c>
      <c r="C571" s="28" t="s">
        <v>181</v>
      </c>
      <c r="D571" s="28" t="s">
        <v>408</v>
      </c>
      <c r="E571" s="28" t="s">
        <v>1043</v>
      </c>
      <c r="F571" s="28" t="s">
        <v>1432</v>
      </c>
      <c r="G571" s="28"/>
      <c r="H571" s="28" t="s">
        <v>2056</v>
      </c>
    </row>
    <row r="572" spans="1:8" ht="20.25" hidden="1" customHeight="1" x14ac:dyDescent="0.2">
      <c r="A572" s="26"/>
      <c r="B572" s="22">
        <v>173</v>
      </c>
      <c r="C572" s="28" t="s">
        <v>182</v>
      </c>
      <c r="D572" s="28" t="s">
        <v>409</v>
      </c>
      <c r="E572" s="28" t="s">
        <v>1044</v>
      </c>
      <c r="F572" s="28" t="s">
        <v>1433</v>
      </c>
      <c r="G572" s="28"/>
      <c r="H572" s="28" t="s">
        <v>2057</v>
      </c>
    </row>
    <row r="573" spans="1:8" ht="20.25" hidden="1" customHeight="1" x14ac:dyDescent="0.2">
      <c r="A573" s="26"/>
      <c r="B573" s="22">
        <v>174</v>
      </c>
      <c r="C573" s="28" t="s">
        <v>183</v>
      </c>
      <c r="D573" s="28" t="s">
        <v>410</v>
      </c>
      <c r="E573" s="28" t="s">
        <v>1045</v>
      </c>
      <c r="F573" s="28" t="s">
        <v>1434</v>
      </c>
      <c r="G573" s="28"/>
      <c r="H573" s="28" t="s">
        <v>2058</v>
      </c>
    </row>
    <row r="574" spans="1:8" ht="20.25" hidden="1" customHeight="1" x14ac:dyDescent="0.2">
      <c r="A574" s="26"/>
      <c r="B574" s="22">
        <v>175</v>
      </c>
      <c r="C574" s="28" t="s">
        <v>184</v>
      </c>
      <c r="D574" s="28" t="s">
        <v>411</v>
      </c>
      <c r="E574" s="28" t="s">
        <v>1046</v>
      </c>
      <c r="F574" s="28" t="s">
        <v>1435</v>
      </c>
      <c r="G574" s="28"/>
      <c r="H574" s="28" t="s">
        <v>2059</v>
      </c>
    </row>
    <row r="575" spans="1:8" ht="20.25" hidden="1" customHeight="1" x14ac:dyDescent="0.2">
      <c r="A575" s="26"/>
      <c r="B575" s="22">
        <v>176</v>
      </c>
      <c r="C575" s="28" t="s">
        <v>185</v>
      </c>
      <c r="D575" s="28" t="s">
        <v>412</v>
      </c>
      <c r="E575" s="28" t="s">
        <v>1047</v>
      </c>
      <c r="F575" s="28" t="s">
        <v>1436</v>
      </c>
      <c r="G575" s="28"/>
      <c r="H575" s="28" t="s">
        <v>2060</v>
      </c>
    </row>
    <row r="576" spans="1:8" ht="20.25" hidden="1" customHeight="1" x14ac:dyDescent="0.2">
      <c r="A576" s="26"/>
      <c r="B576" s="22">
        <v>177</v>
      </c>
      <c r="C576" s="28" t="s">
        <v>186</v>
      </c>
      <c r="D576" s="28" t="s">
        <v>413</v>
      </c>
      <c r="E576" s="28" t="s">
        <v>1048</v>
      </c>
      <c r="F576" s="28" t="s">
        <v>1437</v>
      </c>
      <c r="G576" s="28"/>
      <c r="H576" s="28" t="s">
        <v>2061</v>
      </c>
    </row>
    <row r="577" spans="1:8" ht="20.25" hidden="1" customHeight="1" x14ac:dyDescent="0.2">
      <c r="A577" s="26"/>
      <c r="B577" s="22">
        <v>178</v>
      </c>
      <c r="C577" s="28" t="s">
        <v>187</v>
      </c>
      <c r="D577" s="28" t="s">
        <v>414</v>
      </c>
      <c r="E577" s="28" t="s">
        <v>1049</v>
      </c>
      <c r="F577" s="28" t="s">
        <v>1438</v>
      </c>
      <c r="G577" s="28"/>
      <c r="H577" s="28" t="s">
        <v>2062</v>
      </c>
    </row>
    <row r="578" spans="1:8" ht="20.25" hidden="1" customHeight="1" x14ac:dyDescent="0.2">
      <c r="A578" s="26"/>
      <c r="B578" s="22">
        <v>179</v>
      </c>
      <c r="C578" s="28" t="s">
        <v>188</v>
      </c>
      <c r="D578" s="28" t="s">
        <v>415</v>
      </c>
      <c r="E578" s="28" t="s">
        <v>1050</v>
      </c>
      <c r="F578" s="28" t="s">
        <v>1439</v>
      </c>
      <c r="G578" s="28"/>
      <c r="H578" s="28" t="s">
        <v>2063</v>
      </c>
    </row>
    <row r="579" spans="1:8" ht="20.25" hidden="1" customHeight="1" x14ac:dyDescent="0.2">
      <c r="A579" s="26"/>
      <c r="B579" s="22">
        <v>180</v>
      </c>
      <c r="C579" s="28" t="s">
        <v>2</v>
      </c>
      <c r="D579" s="28" t="s">
        <v>3</v>
      </c>
      <c r="E579" s="28" t="s">
        <v>1051</v>
      </c>
      <c r="F579" s="28" t="s">
        <v>1440</v>
      </c>
      <c r="G579" s="28"/>
      <c r="H579" s="28" t="s">
        <v>2064</v>
      </c>
    </row>
    <row r="580" spans="1:8" ht="20.25" hidden="1" customHeight="1" x14ac:dyDescent="0.2">
      <c r="A580" s="26"/>
      <c r="B580" s="22">
        <v>181</v>
      </c>
      <c r="C580" s="28" t="s">
        <v>189</v>
      </c>
      <c r="D580" s="28" t="s">
        <v>416</v>
      </c>
      <c r="E580" s="28" t="s">
        <v>1052</v>
      </c>
      <c r="F580" s="28" t="s">
        <v>1441</v>
      </c>
      <c r="G580" s="28"/>
      <c r="H580" s="28" t="s">
        <v>2065</v>
      </c>
    </row>
    <row r="581" spans="1:8" ht="20.25" hidden="1" customHeight="1" x14ac:dyDescent="0.2">
      <c r="A581" s="26"/>
      <c r="B581" s="22">
        <v>182</v>
      </c>
      <c r="C581" s="28" t="s">
        <v>419</v>
      </c>
      <c r="D581" s="28" t="s">
        <v>420</v>
      </c>
      <c r="E581" s="28" t="s">
        <v>1053</v>
      </c>
      <c r="F581" s="28" t="s">
        <v>1442</v>
      </c>
      <c r="G581" s="28"/>
      <c r="H581" s="28" t="s">
        <v>2066</v>
      </c>
    </row>
    <row r="582" spans="1:8" ht="20.25" hidden="1" customHeight="1" x14ac:dyDescent="0.2">
      <c r="A582" s="26"/>
      <c r="B582" s="22">
        <v>183</v>
      </c>
      <c r="C582" s="28" t="s">
        <v>421</v>
      </c>
      <c r="D582" s="28" t="s">
        <v>422</v>
      </c>
      <c r="E582" s="28" t="s">
        <v>1054</v>
      </c>
      <c r="F582" s="28" t="s">
        <v>1443</v>
      </c>
      <c r="G582" s="28"/>
      <c r="H582" s="28" t="s">
        <v>2067</v>
      </c>
    </row>
    <row r="583" spans="1:8" ht="20.25" hidden="1" customHeight="1" x14ac:dyDescent="0.2">
      <c r="A583" s="26"/>
      <c r="B583" s="22">
        <v>184</v>
      </c>
      <c r="C583" s="28" t="s">
        <v>425</v>
      </c>
      <c r="D583" s="28" t="s">
        <v>35</v>
      </c>
      <c r="E583" s="28" t="s">
        <v>1055</v>
      </c>
      <c r="F583" s="28" t="s">
        <v>1444</v>
      </c>
      <c r="G583" s="28"/>
      <c r="H583" s="28" t="s">
        <v>2068</v>
      </c>
    </row>
    <row r="584" spans="1:8" ht="20.25" hidden="1" customHeight="1" x14ac:dyDescent="0.2">
      <c r="A584" s="26"/>
      <c r="B584" s="22">
        <v>185</v>
      </c>
      <c r="C584" s="28" t="s">
        <v>36</v>
      </c>
      <c r="D584" s="28" t="s">
        <v>37</v>
      </c>
      <c r="E584" s="28" t="s">
        <v>1056</v>
      </c>
      <c r="F584" s="28" t="s">
        <v>1445</v>
      </c>
      <c r="G584" s="28"/>
      <c r="H584" s="28" t="s">
        <v>2069</v>
      </c>
    </row>
    <row r="585" spans="1:8" ht="20.25" hidden="1" customHeight="1" x14ac:dyDescent="0.2">
      <c r="A585" s="26"/>
      <c r="B585" s="22">
        <v>186</v>
      </c>
      <c r="C585" s="28" t="s">
        <v>38</v>
      </c>
      <c r="D585" s="28" t="s">
        <v>39</v>
      </c>
      <c r="E585" s="28" t="s">
        <v>1057</v>
      </c>
      <c r="F585" s="28" t="s">
        <v>1446</v>
      </c>
      <c r="G585" s="28"/>
      <c r="H585" s="28" t="s">
        <v>2070</v>
      </c>
    </row>
    <row r="586" spans="1:8" ht="20.25" hidden="1" customHeight="1" x14ac:dyDescent="0.2">
      <c r="A586" s="26"/>
      <c r="B586" s="22">
        <v>187</v>
      </c>
      <c r="C586" s="28" t="s">
        <v>42</v>
      </c>
      <c r="D586" s="28" t="s">
        <v>43</v>
      </c>
      <c r="E586" s="28" t="s">
        <v>1058</v>
      </c>
      <c r="F586" s="28" t="s">
        <v>1447</v>
      </c>
      <c r="G586" s="28"/>
      <c r="H586" s="28" t="s">
        <v>2071</v>
      </c>
    </row>
    <row r="587" spans="1:8" ht="20.25" hidden="1" customHeight="1" x14ac:dyDescent="0.2">
      <c r="A587" s="26"/>
      <c r="B587" s="22">
        <v>188</v>
      </c>
      <c r="C587" s="28" t="s">
        <v>44</v>
      </c>
      <c r="D587" s="28" t="s">
        <v>45</v>
      </c>
      <c r="E587" s="28" t="s">
        <v>1059</v>
      </c>
      <c r="F587" s="28" t="s">
        <v>1448</v>
      </c>
      <c r="G587" s="28"/>
      <c r="H587" s="28" t="s">
        <v>2072</v>
      </c>
    </row>
    <row r="588" spans="1:8" ht="20.25" hidden="1" customHeight="1" x14ac:dyDescent="0.2">
      <c r="A588" s="26"/>
      <c r="B588" s="22">
        <v>189</v>
      </c>
      <c r="C588" s="28" t="s">
        <v>46</v>
      </c>
      <c r="D588" s="28" t="s">
        <v>47</v>
      </c>
      <c r="E588" s="28" t="s">
        <v>1060</v>
      </c>
      <c r="F588" s="28" t="s">
        <v>1449</v>
      </c>
      <c r="G588" s="28"/>
      <c r="H588" s="28" t="s">
        <v>2073</v>
      </c>
    </row>
    <row r="589" spans="1:8" ht="20.25" hidden="1" customHeight="1" x14ac:dyDescent="0.2">
      <c r="A589" s="26"/>
      <c r="B589" s="22">
        <v>190</v>
      </c>
      <c r="C589" s="28" t="s">
        <v>48</v>
      </c>
      <c r="D589" s="28" t="s">
        <v>49</v>
      </c>
      <c r="E589" s="28" t="s">
        <v>1061</v>
      </c>
      <c r="F589" s="28" t="s">
        <v>1450</v>
      </c>
      <c r="G589" s="28"/>
      <c r="H589" s="28" t="s">
        <v>2074</v>
      </c>
    </row>
    <row r="590" spans="1:8" ht="20.25" customHeight="1" x14ac:dyDescent="0.2">
      <c r="A590" s="759" t="s">
        <v>2884</v>
      </c>
      <c r="B590" s="22">
        <v>191</v>
      </c>
      <c r="C590" s="28" t="s">
        <v>2885</v>
      </c>
      <c r="D590" s="28" t="s">
        <v>2886</v>
      </c>
      <c r="E590" s="27" t="s">
        <v>2895</v>
      </c>
      <c r="F590" s="28" t="s">
        <v>2904</v>
      </c>
      <c r="G590" s="28"/>
      <c r="H590" s="28" t="s">
        <v>2075</v>
      </c>
    </row>
    <row r="591" spans="1:8" ht="20.25" hidden="1" customHeight="1" x14ac:dyDescent="0.2">
      <c r="A591" s="26"/>
      <c r="B591" s="22">
        <v>192</v>
      </c>
      <c r="C591" s="28"/>
      <c r="D591" s="28"/>
      <c r="E591" s="27"/>
      <c r="F591" s="28"/>
      <c r="G591" s="28"/>
      <c r="H591" s="28" t="s">
        <v>2076</v>
      </c>
    </row>
    <row r="592" spans="1:8" ht="20.25" hidden="1" customHeight="1" x14ac:dyDescent="0.2">
      <c r="A592" s="52" t="s">
        <v>2765</v>
      </c>
      <c r="B592" s="22">
        <v>193</v>
      </c>
      <c r="C592" s="28" t="s">
        <v>2751</v>
      </c>
      <c r="D592" s="28" t="s">
        <v>2752</v>
      </c>
      <c r="E592" s="27" t="s">
        <v>2822</v>
      </c>
      <c r="F592" s="28" t="s">
        <v>2823</v>
      </c>
      <c r="G592" s="28"/>
      <c r="H592" s="28" t="s">
        <v>2077</v>
      </c>
    </row>
    <row r="593" spans="1:8" ht="20.25" hidden="1" customHeight="1" x14ac:dyDescent="0.2">
      <c r="A593" s="52" t="s">
        <v>2765</v>
      </c>
      <c r="B593" s="22">
        <v>194</v>
      </c>
      <c r="C593" s="28" t="s">
        <v>2753</v>
      </c>
      <c r="D593" s="28" t="s">
        <v>2754</v>
      </c>
      <c r="E593" s="27" t="s">
        <v>2824</v>
      </c>
      <c r="F593" s="28" t="s">
        <v>2825</v>
      </c>
      <c r="G593" s="28"/>
      <c r="H593" s="28" t="s">
        <v>2078</v>
      </c>
    </row>
    <row r="594" spans="1:8" ht="20.25" hidden="1" customHeight="1" x14ac:dyDescent="0.2">
      <c r="A594" s="52" t="s">
        <v>2765</v>
      </c>
      <c r="B594" s="22">
        <v>195</v>
      </c>
      <c r="C594" s="28" t="s">
        <v>2755</v>
      </c>
      <c r="D594" s="28" t="s">
        <v>2756</v>
      </c>
      <c r="E594" s="27" t="s">
        <v>2826</v>
      </c>
      <c r="F594" s="28" t="s">
        <v>2827</v>
      </c>
      <c r="G594" s="28"/>
      <c r="H594" s="28" t="s">
        <v>2079</v>
      </c>
    </row>
    <row r="595" spans="1:8" ht="20.25" hidden="1" customHeight="1" x14ac:dyDescent="0.2">
      <c r="A595" s="52" t="s">
        <v>2765</v>
      </c>
      <c r="B595" s="22">
        <v>196</v>
      </c>
      <c r="C595" s="28" t="s">
        <v>2757</v>
      </c>
      <c r="D595" s="28" t="s">
        <v>2758</v>
      </c>
      <c r="E595" s="27" t="s">
        <v>2828</v>
      </c>
      <c r="F595" s="28" t="s">
        <v>2829</v>
      </c>
      <c r="G595" s="28"/>
      <c r="H595" s="28" t="s">
        <v>2080</v>
      </c>
    </row>
    <row r="596" spans="1:8" ht="20.25" hidden="1" customHeight="1" x14ac:dyDescent="0.2">
      <c r="A596" s="52" t="s">
        <v>2765</v>
      </c>
      <c r="B596" s="22">
        <v>197</v>
      </c>
      <c r="C596" s="28" t="s">
        <v>2759</v>
      </c>
      <c r="D596" s="28" t="s">
        <v>2760</v>
      </c>
      <c r="E596" s="27" t="s">
        <v>2830</v>
      </c>
      <c r="F596" s="28" t="s">
        <v>2831</v>
      </c>
      <c r="G596" s="28"/>
      <c r="H596" s="28" t="s">
        <v>2081</v>
      </c>
    </row>
    <row r="597" spans="1:8" ht="20.25" hidden="1" customHeight="1" x14ac:dyDescent="0.2">
      <c r="A597" s="52" t="s">
        <v>2765</v>
      </c>
      <c r="B597" s="22">
        <v>198</v>
      </c>
      <c r="C597" s="28" t="s">
        <v>2761</v>
      </c>
      <c r="D597" s="28" t="s">
        <v>2762</v>
      </c>
      <c r="E597" s="27" t="s">
        <v>2832</v>
      </c>
      <c r="F597" s="28" t="s">
        <v>2833</v>
      </c>
      <c r="G597" s="28"/>
      <c r="H597" s="28" t="s">
        <v>2082</v>
      </c>
    </row>
    <row r="598" spans="1:8" ht="20.25" hidden="1" customHeight="1" x14ac:dyDescent="0.2">
      <c r="A598" s="26"/>
      <c r="B598" s="22">
        <v>199</v>
      </c>
      <c r="C598" s="28"/>
      <c r="D598" s="28"/>
      <c r="E598" s="27"/>
      <c r="F598" s="28"/>
      <c r="G598" s="28"/>
      <c r="H598" s="28" t="s">
        <v>2083</v>
      </c>
    </row>
    <row r="599" spans="1:8" ht="20.25" hidden="1" customHeight="1" x14ac:dyDescent="0.2">
      <c r="A599" s="26"/>
      <c r="B599" s="22">
        <v>200</v>
      </c>
      <c r="C599" s="28"/>
      <c r="D599" s="28"/>
      <c r="E599" s="27"/>
      <c r="F599" s="28"/>
      <c r="G599" s="28"/>
      <c r="H599" s="28" t="s">
        <v>2084</v>
      </c>
    </row>
  </sheetData>
  <sheetProtection selectLockedCells="1"/>
  <autoFilter ref="A11:H599" xr:uid="{00000000-0001-0000-0600-000000000000}">
    <filterColumn colId="0">
      <filters>
        <filter val="i117"/>
        <filter val="i117 / i105 2K"/>
      </filters>
    </filterColumn>
  </autoFilter>
  <phoneticPr fontId="8" type="noConversion"/>
  <conditionalFormatting sqref="H12 H41 H43 H184:H318">
    <cfRule type="cellIs" dxfId="1" priority="18" operator="equal">
      <formula>"belegt"</formula>
    </cfRule>
  </conditionalFormatting>
  <conditionalFormatting sqref="H13:H183">
    <cfRule type="cellIs" dxfId="0" priority="15" operator="equal">
      <formula>"belegt"</formula>
    </cfRule>
  </conditionalFormatting>
  <pageMargins left="0.70866141732283472" right="0.74803149606299213" top="0.39370078740157483" bottom="0.39370078740157483" header="0.19685039370078741" footer="7.874015748031496E-2"/>
  <pageSetup paperSize="9" scale="72" fitToHeight="6" orientation="portrait" verticalDpi="300" r:id="rId1"/>
  <headerFooter alignWithMargins="0"/>
  <legacyDrawingHF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eilepreis5">
    <tabColor indexed="55"/>
    <outlinePr summaryBelow="0" summaryRight="0"/>
    <pageSetUpPr fitToPage="1"/>
  </sheetPr>
  <dimension ref="A1:BG104"/>
  <sheetViews>
    <sheetView showGridLines="0" topLeftCell="F1" zoomScaleNormal="100" zoomScaleSheetLayoutView="100" workbookViewId="0">
      <selection activeCell="AF9" sqref="AF9"/>
    </sheetView>
  </sheetViews>
  <sheetFormatPr baseColWidth="10" defaultColWidth="11" defaultRowHeight="18" outlineLevelCol="1" x14ac:dyDescent="0.2"/>
  <cols>
    <col min="1" max="1" width="4" style="80" customWidth="1"/>
    <col min="2" max="12" width="4" style="66" customWidth="1"/>
    <col min="13" max="13" width="4" style="67" customWidth="1"/>
    <col min="14" max="14" width="4" style="66" customWidth="1"/>
    <col min="15" max="15" width="4" style="70" customWidth="1"/>
    <col min="16" max="28" width="4" style="66" customWidth="1"/>
    <col min="29" max="29" width="1.75" style="66" customWidth="1"/>
    <col min="30" max="30" width="5.75" style="66" customWidth="1"/>
    <col min="31" max="32" width="4.5" style="66" customWidth="1"/>
    <col min="33" max="59" width="4.5" style="66" customWidth="1" outlineLevel="1"/>
    <col min="60" max="16384" width="11" style="66"/>
  </cols>
  <sheetData>
    <row r="1" spans="1:59" ht="40.5" customHeight="1" x14ac:dyDescent="0.2">
      <c r="A1" s="75"/>
      <c r="B1" s="76"/>
      <c r="C1" s="76"/>
      <c r="D1" s="76"/>
      <c r="E1" s="76"/>
      <c r="F1" s="76"/>
      <c r="G1" s="76"/>
      <c r="H1" s="76"/>
      <c r="I1" s="939" t="str">
        <f>HLOOKUP('4 Language'!$B$2,'4 Language'!$C$12:$H$307,2)</f>
        <v>Sprachauswahl 
(Select Language)</v>
      </c>
      <c r="J1" s="939"/>
      <c r="K1" s="939"/>
      <c r="L1" s="939"/>
      <c r="M1" s="939"/>
      <c r="N1" s="937" t="s">
        <v>475</v>
      </c>
      <c r="O1" s="937"/>
      <c r="P1" s="937"/>
      <c r="Q1" s="937"/>
      <c r="R1" s="937"/>
      <c r="S1" s="937"/>
      <c r="T1" s="937"/>
      <c r="U1" s="937"/>
      <c r="V1" s="937"/>
      <c r="W1" s="937"/>
      <c r="X1" s="937"/>
      <c r="Y1" s="77"/>
      <c r="Z1" s="77"/>
      <c r="AA1" s="77"/>
      <c r="AB1" s="78" t="str">
        <f>'4 Language'!C5</f>
        <v xml:space="preserve"> i105 2K</v>
      </c>
      <c r="AF1" s="64" t="s">
        <v>108</v>
      </c>
      <c r="AG1" s="79"/>
      <c r="AH1" s="64" t="s">
        <v>367</v>
      </c>
      <c r="AI1" s="79"/>
      <c r="AJ1" s="79"/>
      <c r="AK1" s="79"/>
      <c r="AL1" s="79"/>
      <c r="AM1" s="79"/>
      <c r="AN1" s="79"/>
      <c r="AO1" s="79"/>
      <c r="AP1" s="79"/>
      <c r="AQ1" s="79"/>
      <c r="AR1" s="79"/>
      <c r="AS1" s="79"/>
      <c r="AT1" s="79"/>
      <c r="AU1" s="79"/>
      <c r="AV1" s="79"/>
      <c r="AW1" s="79"/>
      <c r="AX1" s="79"/>
      <c r="AY1" s="79"/>
      <c r="AZ1" s="79"/>
      <c r="BA1" s="79"/>
      <c r="BB1" s="79"/>
      <c r="BC1" s="79"/>
      <c r="BD1" s="79"/>
      <c r="BE1" s="79"/>
      <c r="BF1" s="76"/>
      <c r="BG1" s="76"/>
    </row>
    <row r="2" spans="1:59" ht="33" customHeight="1" x14ac:dyDescent="0.2">
      <c r="B2" s="111" t="str">
        <f>HLOOKUP('4 Language'!$B$2,'4 Language'!$C$12:$H$307,4)</f>
        <v>Parameterblatt - Spritzgießen</v>
      </c>
      <c r="AI2" s="1"/>
      <c r="AJ2" s="81"/>
      <c r="AK2" s="81"/>
      <c r="AL2" s="82"/>
      <c r="AM2" s="83"/>
    </row>
    <row r="3" spans="1:59" ht="19.5" customHeight="1" x14ac:dyDescent="0.2">
      <c r="B3" s="84"/>
      <c r="AH3" s="72"/>
      <c r="AI3" s="73" t="s">
        <v>1700</v>
      </c>
      <c r="AJ3" s="929">
        <v>44285</v>
      </c>
      <c r="AK3" s="929"/>
      <c r="AL3" s="929"/>
      <c r="AN3" s="2" t="s">
        <v>1538</v>
      </c>
    </row>
    <row r="4" spans="1:59" ht="19.5" customHeight="1" x14ac:dyDescent="0.2">
      <c r="B4" s="112" t="str">
        <f>HLOOKUP('4 Language'!$B$2,'4 Language'!$C$12:H307,5)</f>
        <v>Navigation</v>
      </c>
      <c r="L4" s="941"/>
      <c r="M4" s="941"/>
      <c r="N4" s="941"/>
      <c r="O4" s="941"/>
      <c r="P4" s="941"/>
      <c r="Q4" s="941"/>
      <c r="R4" s="941"/>
      <c r="S4" s="941"/>
      <c r="T4" s="941"/>
      <c r="U4" s="941"/>
      <c r="V4" s="941"/>
      <c r="W4" s="941"/>
      <c r="X4" s="941"/>
      <c r="Y4" s="941"/>
      <c r="Z4" s="941"/>
      <c r="AA4" s="941"/>
      <c r="AB4" s="941"/>
      <c r="AC4" s="85"/>
      <c r="AH4" s="72"/>
      <c r="AJ4" s="929"/>
      <c r="AK4" s="929"/>
      <c r="AL4" s="929"/>
      <c r="AN4" s="2" t="s">
        <v>1539</v>
      </c>
    </row>
    <row r="5" spans="1:59" ht="19.5" customHeight="1" x14ac:dyDescent="0.2">
      <c r="B5" s="87"/>
      <c r="C5" s="88"/>
      <c r="D5" s="88"/>
      <c r="E5" s="88"/>
      <c r="F5" s="88"/>
      <c r="G5" s="88"/>
      <c r="H5" s="88"/>
      <c r="I5" s="89"/>
      <c r="J5" s="89"/>
      <c r="K5" s="89"/>
      <c r="L5" s="89"/>
      <c r="M5" s="89"/>
      <c r="N5" s="88"/>
      <c r="P5" s="67"/>
      <c r="Q5" s="67"/>
      <c r="R5" s="67"/>
      <c r="S5" s="67"/>
      <c r="T5" s="67"/>
      <c r="U5" s="67"/>
      <c r="V5" s="67"/>
      <c r="W5" s="67"/>
      <c r="X5" s="67"/>
      <c r="Y5" s="67"/>
      <c r="Z5" s="67"/>
      <c r="AA5" s="67"/>
      <c r="AB5" s="67"/>
      <c r="AC5" s="85"/>
      <c r="AH5" s="72"/>
      <c r="AI5" s="74"/>
      <c r="AJ5" s="929"/>
      <c r="AK5" s="929"/>
      <c r="AL5" s="929"/>
      <c r="AN5" s="3" t="s">
        <v>1541</v>
      </c>
    </row>
    <row r="6" spans="1:59" ht="19.5" customHeight="1" x14ac:dyDescent="0.2">
      <c r="B6" s="916" t="s">
        <v>1822</v>
      </c>
      <c r="C6" s="917"/>
      <c r="D6" s="917"/>
      <c r="E6" s="90"/>
      <c r="F6" s="90"/>
      <c r="G6" s="90"/>
      <c r="H6" s="90"/>
      <c r="I6" s="90"/>
      <c r="J6" s="90"/>
      <c r="K6" s="90"/>
      <c r="L6" s="90"/>
      <c r="M6" s="90"/>
      <c r="N6" s="90"/>
      <c r="O6" s="90"/>
      <c r="P6" s="90"/>
      <c r="Q6" s="90"/>
      <c r="R6" s="90"/>
      <c r="S6" s="90"/>
      <c r="T6" s="90"/>
      <c r="U6" s="90"/>
      <c r="V6" s="90"/>
      <c r="W6" s="90"/>
      <c r="X6" s="90"/>
      <c r="Y6" s="90"/>
      <c r="Z6" s="90"/>
      <c r="AA6" s="90"/>
      <c r="AB6" s="90"/>
      <c r="AC6" s="85"/>
      <c r="AI6" s="86"/>
      <c r="AJ6" s="930"/>
      <c r="AK6" s="930"/>
      <c r="AL6" s="930"/>
      <c r="AN6" s="83"/>
    </row>
    <row r="7" spans="1:59" ht="19.5" customHeight="1" x14ac:dyDescent="0.2">
      <c r="B7" s="917"/>
      <c r="C7" s="917"/>
      <c r="D7" s="917"/>
      <c r="E7" s="90" t="str">
        <f>HLOOKUP('4 Language'!$B$2,'4 Language'!$C$12:$H$307,245)</f>
        <v xml:space="preserve"> Werkzeug- und Prozessdaten - Spritzgießen</v>
      </c>
      <c r="F7" s="90"/>
      <c r="G7" s="90"/>
      <c r="H7" s="90"/>
      <c r="I7" s="90"/>
      <c r="J7" s="90"/>
      <c r="K7" s="90"/>
      <c r="L7" s="90"/>
      <c r="M7" s="90"/>
      <c r="N7" s="90"/>
      <c r="O7" s="90"/>
      <c r="P7" s="90"/>
      <c r="Q7" s="90"/>
      <c r="R7" s="90"/>
      <c r="S7" s="90"/>
      <c r="T7" s="90"/>
      <c r="U7" s="90"/>
      <c r="V7" s="90"/>
      <c r="W7" s="90"/>
      <c r="X7" s="90"/>
      <c r="Y7" s="90"/>
      <c r="Z7" s="90"/>
      <c r="AA7" s="90"/>
      <c r="AB7" s="90"/>
      <c r="AC7" s="85"/>
      <c r="AI7" s="73" t="s">
        <v>1704</v>
      </c>
      <c r="AJ7" s="929">
        <v>44382</v>
      </c>
      <c r="AK7" s="929"/>
      <c r="AL7" s="929"/>
      <c r="AN7" s="2" t="s">
        <v>1722</v>
      </c>
      <c r="AQ7" s="91"/>
      <c r="AR7" s="91"/>
    </row>
    <row r="8" spans="1:59" ht="19.5" customHeight="1" x14ac:dyDescent="0.2">
      <c r="B8" s="917"/>
      <c r="C8" s="917"/>
      <c r="D8" s="917"/>
      <c r="E8" s="90"/>
      <c r="F8" s="90"/>
      <c r="G8" s="90"/>
      <c r="H8" s="90"/>
      <c r="I8" s="90"/>
      <c r="J8" s="90"/>
      <c r="K8" s="90"/>
      <c r="L8" s="90"/>
      <c r="M8" s="90"/>
      <c r="N8" s="90"/>
      <c r="O8" s="90"/>
      <c r="P8" s="90"/>
      <c r="Q8" s="90"/>
      <c r="R8" s="90"/>
      <c r="S8" s="90"/>
      <c r="T8" s="90"/>
      <c r="U8" s="90"/>
      <c r="V8" s="90"/>
      <c r="W8" s="90"/>
      <c r="X8" s="90"/>
      <c r="Y8" s="90"/>
      <c r="Z8" s="90"/>
      <c r="AA8" s="90"/>
      <c r="AB8" s="90"/>
      <c r="AC8" s="85"/>
      <c r="AI8" s="86"/>
      <c r="AJ8" s="930"/>
      <c r="AK8" s="930"/>
      <c r="AL8" s="930"/>
      <c r="AN8" s="2" t="s">
        <v>1723</v>
      </c>
      <c r="AQ8" s="92"/>
      <c r="AR8" s="92"/>
    </row>
    <row r="9" spans="1:59" ht="19.5" customHeight="1" x14ac:dyDescent="0.2">
      <c r="B9" s="67"/>
      <c r="C9" s="67"/>
      <c r="D9" s="67"/>
      <c r="E9" s="67"/>
      <c r="F9" s="67"/>
      <c r="G9" s="67"/>
      <c r="H9" s="67"/>
      <c r="I9" s="67"/>
      <c r="J9" s="67"/>
      <c r="K9" s="67"/>
      <c r="L9" s="67"/>
      <c r="N9" s="67"/>
      <c r="O9" s="67"/>
      <c r="P9" s="67"/>
      <c r="Q9" s="67"/>
      <c r="R9" s="67"/>
      <c r="S9" s="67"/>
      <c r="T9" s="67"/>
      <c r="U9" s="67"/>
      <c r="V9" s="67"/>
      <c r="W9" s="67"/>
      <c r="X9" s="67"/>
      <c r="Y9" s="67"/>
      <c r="Z9" s="67"/>
      <c r="AA9" s="67"/>
      <c r="AB9" s="67"/>
      <c r="AC9" s="85"/>
      <c r="AI9" s="86"/>
      <c r="AJ9" s="930"/>
      <c r="AK9" s="930"/>
      <c r="AL9" s="930"/>
      <c r="AN9" s="2" t="s">
        <v>1725</v>
      </c>
      <c r="AQ9" s="92"/>
      <c r="AR9" s="92"/>
    </row>
    <row r="10" spans="1:59" ht="19.5" customHeight="1" x14ac:dyDescent="0.2">
      <c r="B10" s="67"/>
      <c r="C10" s="67"/>
      <c r="D10" s="67"/>
      <c r="E10" s="67"/>
      <c r="F10" s="67"/>
      <c r="G10" s="67"/>
      <c r="H10" s="67"/>
      <c r="I10" s="67"/>
      <c r="J10" s="67"/>
      <c r="K10" s="67"/>
      <c r="L10" s="67"/>
      <c r="N10" s="67"/>
      <c r="O10" s="67"/>
      <c r="P10" s="67"/>
      <c r="Q10" s="67"/>
      <c r="R10" s="67"/>
      <c r="S10" s="67"/>
      <c r="T10" s="67"/>
      <c r="U10" s="67"/>
      <c r="V10" s="67"/>
      <c r="W10" s="67"/>
      <c r="X10" s="67"/>
      <c r="Y10" s="67"/>
      <c r="Z10" s="67"/>
      <c r="AA10" s="67"/>
      <c r="AB10" s="67"/>
      <c r="AC10" s="85"/>
      <c r="AI10" s="86"/>
      <c r="AJ10" s="930"/>
      <c r="AK10" s="930"/>
      <c r="AL10" s="930"/>
      <c r="AN10" s="2" t="s">
        <v>1724</v>
      </c>
      <c r="AQ10" s="92"/>
      <c r="AR10" s="92"/>
    </row>
    <row r="11" spans="1:59" ht="19.5" customHeight="1" x14ac:dyDescent="0.2">
      <c r="B11" s="87"/>
      <c r="C11" s="67"/>
      <c r="D11" s="67"/>
      <c r="E11" s="67"/>
      <c r="F11" s="67"/>
      <c r="G11" s="67"/>
      <c r="H11" s="67"/>
      <c r="I11" s="67"/>
      <c r="J11" s="67"/>
      <c r="K11" s="67"/>
      <c r="L11" s="67"/>
      <c r="N11" s="67"/>
      <c r="O11" s="67"/>
      <c r="P11" s="67"/>
      <c r="Q11" s="67"/>
      <c r="R11" s="67"/>
      <c r="S11" s="67"/>
      <c r="T11" s="67"/>
      <c r="U11" s="67"/>
      <c r="V11" s="67"/>
      <c r="W11" s="67"/>
      <c r="X11" s="67"/>
      <c r="Y11" s="67"/>
      <c r="Z11" s="67"/>
      <c r="AA11" s="67"/>
      <c r="AB11" s="67"/>
      <c r="AC11" s="85"/>
      <c r="AI11" s="86"/>
      <c r="AJ11" s="930"/>
      <c r="AK11" s="930"/>
      <c r="AL11" s="930"/>
      <c r="AN11" s="2" t="s">
        <v>1726</v>
      </c>
      <c r="AQ11" s="92"/>
      <c r="AR11" s="92"/>
    </row>
    <row r="12" spans="1:59" ht="19.5" customHeight="1" x14ac:dyDescent="0.2">
      <c r="B12" s="918" t="s">
        <v>1823</v>
      </c>
      <c r="C12" s="919"/>
      <c r="D12" s="919"/>
      <c r="E12" s="585"/>
      <c r="F12" s="585"/>
      <c r="G12" s="585"/>
      <c r="H12" s="585"/>
      <c r="I12" s="585"/>
      <c r="J12" s="585"/>
      <c r="K12" s="922" t="s">
        <v>1819</v>
      </c>
      <c r="L12" s="923"/>
      <c r="M12" s="585"/>
      <c r="N12" s="586"/>
      <c r="O12" s="931" t="s">
        <v>1820</v>
      </c>
      <c r="P12" s="931"/>
      <c r="Q12" s="587"/>
      <c r="R12" s="587"/>
      <c r="S12" s="933" t="s">
        <v>1821</v>
      </c>
      <c r="T12" s="934"/>
      <c r="U12" s="585"/>
      <c r="V12" s="585"/>
      <c r="W12" s="585"/>
      <c r="X12" s="585"/>
      <c r="Y12" s="585"/>
      <c r="Z12" s="585"/>
      <c r="AA12" s="585"/>
      <c r="AB12" s="585"/>
      <c r="AC12" s="85"/>
      <c r="AI12" s="86"/>
      <c r="AJ12" s="930"/>
      <c r="AK12" s="930"/>
      <c r="AL12" s="930"/>
      <c r="AN12" s="83"/>
      <c r="AQ12" s="92"/>
      <c r="AR12" s="92"/>
    </row>
    <row r="13" spans="1:59" ht="19.5" customHeight="1" x14ac:dyDescent="0.2">
      <c r="B13" s="920"/>
      <c r="C13" s="920"/>
      <c r="D13" s="920"/>
      <c r="E13" s="67" t="str">
        <f>HLOOKUP('4 Language'!$B$2,'4 Language'!$C$12:$H$307,6)</f>
        <v>Auswertungsblatt</v>
      </c>
      <c r="F13" s="67"/>
      <c r="G13" s="67"/>
      <c r="H13" s="67"/>
      <c r="I13" s="67"/>
      <c r="J13" s="67" t="s">
        <v>1809</v>
      </c>
      <c r="K13" s="924"/>
      <c r="L13" s="925"/>
      <c r="N13" s="67" t="s">
        <v>1815</v>
      </c>
      <c r="O13" s="932"/>
      <c r="P13" s="932"/>
      <c r="Q13" s="584"/>
      <c r="R13" s="67" t="s">
        <v>1817</v>
      </c>
      <c r="S13" s="935"/>
      <c r="T13" s="936"/>
      <c r="U13" s="67"/>
      <c r="V13" s="67"/>
      <c r="W13" s="67"/>
      <c r="X13" s="67"/>
      <c r="Y13" s="67"/>
      <c r="Z13" s="67"/>
      <c r="AA13" s="67"/>
      <c r="AB13" s="67"/>
      <c r="AC13" s="85"/>
      <c r="AI13" s="73" t="s">
        <v>2767</v>
      </c>
      <c r="AJ13" s="929">
        <v>45478</v>
      </c>
      <c r="AK13" s="929"/>
      <c r="AL13" s="929"/>
      <c r="AN13" s="2" t="s">
        <v>2766</v>
      </c>
      <c r="AQ13" s="92"/>
      <c r="AR13" s="92"/>
    </row>
    <row r="14" spans="1:59" ht="19.5" customHeight="1" x14ac:dyDescent="0.2">
      <c r="A14" s="67"/>
      <c r="B14" s="920"/>
      <c r="C14" s="920"/>
      <c r="D14" s="920"/>
      <c r="E14" s="67"/>
      <c r="F14" s="67"/>
      <c r="G14" s="67"/>
      <c r="H14" s="67"/>
      <c r="I14" s="67"/>
      <c r="J14" s="67"/>
      <c r="K14" s="924"/>
      <c r="L14" s="925"/>
      <c r="N14" s="584"/>
      <c r="O14" s="932"/>
      <c r="P14" s="932"/>
      <c r="Q14" s="584"/>
      <c r="R14" s="584"/>
      <c r="S14" s="935"/>
      <c r="T14" s="936"/>
      <c r="U14" s="67"/>
      <c r="V14" s="67"/>
      <c r="W14" s="67"/>
      <c r="X14" s="67"/>
      <c r="Y14" s="67"/>
      <c r="Z14" s="67"/>
      <c r="AA14" s="67"/>
      <c r="AB14" s="67"/>
      <c r="AC14" s="85"/>
      <c r="AI14" s="86"/>
      <c r="AJ14" s="930"/>
      <c r="AK14" s="930"/>
      <c r="AL14" s="930"/>
      <c r="AN14" s="2"/>
      <c r="AQ14" s="92"/>
      <c r="AR14" s="92"/>
    </row>
    <row r="15" spans="1:59" ht="19.5" customHeight="1" x14ac:dyDescent="0.2">
      <c r="A15" s="67"/>
      <c r="B15" s="918" t="s">
        <v>1824</v>
      </c>
      <c r="C15" s="919"/>
      <c r="D15" s="919"/>
      <c r="E15" s="585"/>
      <c r="F15" s="585"/>
      <c r="G15" s="585"/>
      <c r="H15" s="585"/>
      <c r="I15" s="585"/>
      <c r="J15" s="585"/>
      <c r="K15" s="585"/>
      <c r="L15" s="585"/>
      <c r="M15" s="585"/>
      <c r="N15" s="585"/>
      <c r="O15" s="585"/>
      <c r="P15" s="585"/>
      <c r="Q15" s="585"/>
      <c r="R15" s="585"/>
      <c r="S15" s="585"/>
      <c r="T15" s="585"/>
      <c r="U15" s="585"/>
      <c r="V15" s="585"/>
      <c r="W15" s="585"/>
      <c r="X15" s="585"/>
      <c r="Y15" s="585"/>
      <c r="Z15" s="585"/>
      <c r="AA15" s="585"/>
      <c r="AB15" s="585"/>
      <c r="AC15" s="85"/>
      <c r="AI15" s="73" t="s">
        <v>2834</v>
      </c>
      <c r="AJ15" s="929">
        <v>45478</v>
      </c>
      <c r="AK15" s="929"/>
      <c r="AL15" s="929"/>
      <c r="AN15" s="2" t="s">
        <v>2768</v>
      </c>
      <c r="AQ15" s="92"/>
      <c r="AR15" s="92"/>
    </row>
    <row r="16" spans="1:59" ht="19.5" customHeight="1" x14ac:dyDescent="0.2">
      <c r="B16" s="920"/>
      <c r="C16" s="920"/>
      <c r="D16" s="920"/>
      <c r="E16" s="93" t="str">
        <f>HLOOKUP('4 Language'!$B$2,'4 Language'!$C$400:$H$600,4)</f>
        <v>Auswahlfelder</v>
      </c>
      <c r="F16" s="67"/>
      <c r="G16" s="67"/>
      <c r="H16" s="67"/>
      <c r="I16" s="67"/>
      <c r="J16" s="67"/>
      <c r="K16" s="67"/>
      <c r="L16" s="67"/>
      <c r="N16" s="94" t="str">
        <f>HLOOKUP('4 Language'!$B$2,'4 Language'!$C$400:$H$600,7)</f>
        <v>Veränderungen nur durch Administrator zulässig!</v>
      </c>
      <c r="O16" s="67"/>
      <c r="P16" s="67"/>
      <c r="Q16" s="67"/>
      <c r="R16" s="94"/>
      <c r="S16" s="67"/>
      <c r="T16" s="67"/>
      <c r="U16" s="67"/>
      <c r="V16" s="67"/>
      <c r="W16" s="67"/>
      <c r="X16" s="67"/>
      <c r="Y16" s="67"/>
      <c r="Z16" s="67"/>
      <c r="AA16" s="67"/>
      <c r="AB16" s="67"/>
      <c r="AC16" s="85"/>
      <c r="AI16" s="86"/>
      <c r="AJ16" s="930"/>
      <c r="AK16" s="930"/>
      <c r="AL16" s="930"/>
      <c r="AM16" s="749" t="s">
        <v>2837</v>
      </c>
      <c r="AN16" s="3" t="s">
        <v>2835</v>
      </c>
      <c r="AQ16" s="92"/>
      <c r="AR16" s="92"/>
    </row>
    <row r="17" spans="2:44" ht="19.5" customHeight="1" x14ac:dyDescent="0.2">
      <c r="B17" s="920"/>
      <c r="C17" s="920"/>
      <c r="D17" s="920"/>
      <c r="E17" s="291"/>
      <c r="F17" s="291"/>
      <c r="G17" s="291"/>
      <c r="H17" s="291"/>
      <c r="I17" s="291"/>
      <c r="J17" s="291"/>
      <c r="K17" s="291"/>
      <c r="L17" s="291"/>
      <c r="M17" s="291"/>
      <c r="N17" s="291"/>
      <c r="O17" s="291"/>
      <c r="P17" s="291"/>
      <c r="Q17" s="291"/>
      <c r="R17" s="291"/>
      <c r="S17" s="291"/>
      <c r="T17" s="291"/>
      <c r="U17" s="291"/>
      <c r="V17" s="291"/>
      <c r="W17" s="291"/>
      <c r="X17" s="291"/>
      <c r="Y17" s="291"/>
      <c r="Z17" s="291"/>
      <c r="AA17" s="291"/>
      <c r="AB17" s="291"/>
      <c r="AC17" s="85"/>
      <c r="AI17" s="86"/>
      <c r="AJ17" s="930"/>
      <c r="AK17" s="930"/>
      <c r="AL17" s="930"/>
      <c r="AM17" s="749" t="s">
        <v>2837</v>
      </c>
      <c r="AN17" s="3" t="s">
        <v>2836</v>
      </c>
      <c r="AQ17" s="92"/>
      <c r="AR17" s="92"/>
    </row>
    <row r="18" spans="2:44" ht="19.5" customHeight="1" x14ac:dyDescent="0.2">
      <c r="B18" s="918" t="s">
        <v>1825</v>
      </c>
      <c r="C18" s="919"/>
      <c r="D18" s="919"/>
      <c r="E18" s="588"/>
      <c r="F18" s="588"/>
      <c r="G18" s="588"/>
      <c r="H18" s="588"/>
      <c r="I18" s="588"/>
      <c r="J18" s="588"/>
      <c r="K18" s="588"/>
      <c r="L18" s="588"/>
      <c r="M18" s="588"/>
      <c r="N18" s="588"/>
      <c r="O18" s="588"/>
      <c r="P18" s="588"/>
      <c r="Q18" s="588"/>
      <c r="R18" s="588"/>
      <c r="S18" s="588"/>
      <c r="T18" s="588"/>
      <c r="U18" s="588"/>
      <c r="V18" s="588"/>
      <c r="W18" s="588"/>
      <c r="X18" s="588"/>
      <c r="Y18" s="588"/>
      <c r="Z18" s="588"/>
      <c r="AA18" s="588"/>
      <c r="AB18" s="588"/>
      <c r="AC18" s="85"/>
      <c r="AM18" s="749" t="s">
        <v>2837</v>
      </c>
      <c r="AN18" s="72" t="s">
        <v>2838</v>
      </c>
      <c r="AQ18" s="92"/>
      <c r="AR18" s="92"/>
    </row>
    <row r="19" spans="2:44" ht="19.5" customHeight="1" x14ac:dyDescent="0.2">
      <c r="B19" s="920"/>
      <c r="C19" s="920"/>
      <c r="D19" s="920"/>
      <c r="E19" s="93" t="str">
        <f>HLOOKUP('4 Language'!$B$2,'4 Language'!$C$400:$H$600,3)</f>
        <v>Sprachtabelle</v>
      </c>
      <c r="F19" s="93"/>
      <c r="G19" s="93"/>
      <c r="H19" s="93"/>
      <c r="I19" s="93"/>
      <c r="J19" s="93"/>
      <c r="K19" s="93"/>
      <c r="L19" s="93"/>
      <c r="M19" s="93"/>
      <c r="N19" s="94" t="str">
        <f>HLOOKUP('4 Language'!$B$2,'4 Language'!$C$400:$H$600,7)</f>
        <v>Veränderungen nur durch Administrator zulässig!</v>
      </c>
      <c r="O19" s="93"/>
      <c r="P19" s="93"/>
      <c r="Q19" s="93"/>
      <c r="R19" s="93"/>
      <c r="S19" s="93"/>
      <c r="T19" s="93"/>
      <c r="U19" s="93"/>
      <c r="V19" s="93"/>
      <c r="W19" s="93"/>
      <c r="X19" s="93"/>
      <c r="Y19" s="93"/>
      <c r="Z19" s="93"/>
      <c r="AA19" s="93"/>
      <c r="AB19" s="93"/>
      <c r="AC19" s="85"/>
      <c r="AI19" s="73"/>
      <c r="AJ19" s="929"/>
      <c r="AK19" s="929"/>
      <c r="AL19" s="929"/>
      <c r="AM19" s="749" t="s">
        <v>2837</v>
      </c>
      <c r="AN19" s="72" t="s">
        <v>2839</v>
      </c>
      <c r="AQ19" s="92"/>
      <c r="AR19" s="92"/>
    </row>
    <row r="20" spans="2:44" ht="19.5" customHeight="1" x14ac:dyDescent="0.2">
      <c r="B20" s="920"/>
      <c r="C20" s="920"/>
      <c r="D20" s="920"/>
      <c r="E20" s="589"/>
      <c r="F20" s="589"/>
      <c r="G20" s="589"/>
      <c r="H20" s="589"/>
      <c r="I20" s="589"/>
      <c r="J20" s="589"/>
      <c r="K20" s="589"/>
      <c r="L20" s="589"/>
      <c r="M20" s="589"/>
      <c r="N20" s="589"/>
      <c r="O20" s="589"/>
      <c r="P20" s="589"/>
      <c r="Q20" s="589"/>
      <c r="R20" s="589"/>
      <c r="S20" s="589"/>
      <c r="T20" s="589"/>
      <c r="U20" s="589"/>
      <c r="V20" s="589"/>
      <c r="W20" s="589"/>
      <c r="X20" s="589"/>
      <c r="Y20" s="589"/>
      <c r="Z20" s="589"/>
      <c r="AA20" s="589"/>
      <c r="AB20" s="589"/>
      <c r="AC20" s="85"/>
      <c r="AI20" s="86"/>
      <c r="AJ20" s="930"/>
      <c r="AK20" s="930"/>
      <c r="AL20" s="930"/>
      <c r="AM20" s="749" t="s">
        <v>2837</v>
      </c>
      <c r="AN20" s="72" t="s">
        <v>2840</v>
      </c>
      <c r="AQ20" s="92"/>
      <c r="AR20" s="92"/>
    </row>
    <row r="21" spans="2:44" ht="19.5" customHeight="1" x14ac:dyDescent="0.2">
      <c r="B21" s="918" t="s">
        <v>1826</v>
      </c>
      <c r="C21" s="919"/>
      <c r="D21" s="919"/>
      <c r="E21" s="588"/>
      <c r="F21" s="588"/>
      <c r="G21" s="588"/>
      <c r="H21" s="588"/>
      <c r="I21" s="588"/>
      <c r="J21" s="588"/>
      <c r="K21" s="588"/>
      <c r="L21" s="588"/>
      <c r="M21" s="588"/>
      <c r="N21" s="588"/>
      <c r="O21" s="588"/>
      <c r="P21" s="588"/>
      <c r="Q21" s="588"/>
      <c r="R21" s="588"/>
      <c r="S21" s="588"/>
      <c r="T21" s="588"/>
      <c r="U21" s="588"/>
      <c r="V21" s="588"/>
      <c r="W21" s="588"/>
      <c r="X21" s="588"/>
      <c r="Y21" s="588"/>
      <c r="Z21" s="588"/>
      <c r="AA21" s="588"/>
      <c r="AB21" s="588"/>
      <c r="AC21" s="85"/>
      <c r="AI21" s="86"/>
      <c r="AJ21" s="930"/>
      <c r="AK21" s="930"/>
      <c r="AL21" s="930"/>
      <c r="AM21" s="749" t="s">
        <v>2837</v>
      </c>
      <c r="AN21" s="72" t="s">
        <v>2841</v>
      </c>
      <c r="AQ21" s="92"/>
      <c r="AR21" s="92"/>
    </row>
    <row r="22" spans="2:44" ht="19.5" customHeight="1" x14ac:dyDescent="0.2">
      <c r="B22" s="920"/>
      <c r="C22" s="920"/>
      <c r="D22" s="920"/>
      <c r="E22" s="66" t="s">
        <v>1834</v>
      </c>
      <c r="F22" s="93"/>
      <c r="G22" s="93"/>
      <c r="H22" s="93"/>
      <c r="I22" s="93"/>
      <c r="J22" s="93"/>
      <c r="K22" s="93"/>
      <c r="L22" s="93"/>
      <c r="M22" s="93"/>
      <c r="O22" s="93"/>
      <c r="P22" s="93"/>
      <c r="Q22" s="93"/>
      <c r="R22" s="93"/>
      <c r="S22" s="93"/>
      <c r="T22" s="93"/>
      <c r="U22" s="93"/>
      <c r="V22" s="93"/>
      <c r="W22" s="93"/>
      <c r="X22" s="93"/>
      <c r="Y22" s="93"/>
      <c r="Z22" s="93"/>
      <c r="AA22" s="93"/>
      <c r="AB22" s="93"/>
      <c r="AC22" s="85"/>
      <c r="AM22" s="750" t="s">
        <v>2837</v>
      </c>
      <c r="AN22" s="72" t="s">
        <v>2844</v>
      </c>
      <c r="AQ22" s="92"/>
      <c r="AR22" s="92"/>
    </row>
    <row r="23" spans="2:44" ht="19.5" customHeight="1" x14ac:dyDescent="0.2">
      <c r="B23" s="921"/>
      <c r="C23" s="921"/>
      <c r="D23" s="921"/>
      <c r="E23" s="589"/>
      <c r="F23" s="589"/>
      <c r="G23" s="589"/>
      <c r="H23" s="589"/>
      <c r="I23" s="589"/>
      <c r="J23" s="589"/>
      <c r="K23" s="589"/>
      <c r="L23" s="589"/>
      <c r="M23" s="589"/>
      <c r="N23" s="589"/>
      <c r="O23" s="589"/>
      <c r="P23" s="589"/>
      <c r="Q23" s="589"/>
      <c r="R23" s="589"/>
      <c r="S23" s="589"/>
      <c r="T23" s="589"/>
      <c r="U23" s="589"/>
      <c r="V23" s="589"/>
      <c r="W23" s="589"/>
      <c r="X23" s="589"/>
      <c r="Y23" s="589"/>
      <c r="Z23" s="589"/>
      <c r="AA23" s="589"/>
      <c r="AB23" s="589"/>
      <c r="AC23" s="85"/>
      <c r="AM23" s="750" t="s">
        <v>2837</v>
      </c>
      <c r="AN23" s="72" t="s">
        <v>2842</v>
      </c>
      <c r="AQ23" s="92"/>
      <c r="AR23" s="92"/>
    </row>
    <row r="24" spans="2:44" ht="19.5" customHeight="1" x14ac:dyDescent="0.2">
      <c r="E24" s="96"/>
      <c r="F24" s="96"/>
      <c r="G24" s="96"/>
      <c r="H24" s="96"/>
      <c r="I24" s="96"/>
      <c r="J24" s="96"/>
      <c r="K24" s="96"/>
      <c r="L24" s="96"/>
      <c r="M24" s="93"/>
      <c r="N24" s="96"/>
      <c r="O24" s="97"/>
      <c r="P24" s="96"/>
      <c r="Q24" s="96"/>
      <c r="R24" s="96"/>
      <c r="S24" s="96"/>
      <c r="T24" s="96"/>
      <c r="U24" s="96"/>
      <c r="V24" s="96"/>
      <c r="W24" s="96"/>
      <c r="X24" s="96"/>
      <c r="Y24" s="96"/>
      <c r="Z24" s="96"/>
      <c r="AA24" s="96"/>
      <c r="AB24" s="96"/>
      <c r="AC24" s="85"/>
      <c r="AM24" s="750" t="s">
        <v>2837</v>
      </c>
      <c r="AN24" s="72" t="s">
        <v>2843</v>
      </c>
      <c r="AO24" s="98"/>
      <c r="AP24" s="92"/>
      <c r="AQ24" s="92"/>
      <c r="AR24" s="92"/>
    </row>
    <row r="25" spans="2:44" ht="19.5" customHeight="1" x14ac:dyDescent="0.2">
      <c r="E25" s="96"/>
      <c r="F25" s="96"/>
      <c r="G25" s="96"/>
      <c r="H25" s="96"/>
      <c r="I25" s="96"/>
      <c r="J25" s="96"/>
      <c r="K25" s="96"/>
      <c r="L25" s="96"/>
      <c r="M25" s="93"/>
      <c r="N25" s="96"/>
      <c r="O25" s="97"/>
      <c r="P25" s="96"/>
      <c r="Q25" s="96"/>
      <c r="R25" s="96"/>
      <c r="S25" s="96"/>
      <c r="T25" s="96"/>
      <c r="U25" s="96"/>
      <c r="V25" s="96"/>
      <c r="W25" s="96"/>
      <c r="X25" s="96"/>
      <c r="Y25" s="96"/>
      <c r="Z25" s="96"/>
      <c r="AA25" s="96"/>
      <c r="AB25" s="96"/>
      <c r="AM25" s="750" t="s">
        <v>2837</v>
      </c>
      <c r="AN25" s="72" t="s">
        <v>2845</v>
      </c>
      <c r="AO25" s="99"/>
      <c r="AP25" s="92"/>
      <c r="AQ25" s="92"/>
      <c r="AR25" s="92"/>
    </row>
    <row r="26" spans="2:44" ht="19.5" customHeight="1" x14ac:dyDescent="0.2">
      <c r="B26" s="100"/>
      <c r="C26" s="100"/>
      <c r="D26" s="100"/>
      <c r="E26" s="93"/>
      <c r="F26" s="101"/>
      <c r="G26" s="101"/>
      <c r="H26" s="101"/>
      <c r="I26" s="101"/>
      <c r="J26" s="101"/>
      <c r="K26" s="101"/>
      <c r="L26" s="101"/>
      <c r="M26" s="101"/>
      <c r="N26" s="101"/>
      <c r="O26" s="93"/>
      <c r="P26" s="928"/>
      <c r="Q26" s="928"/>
      <c r="R26" s="928"/>
      <c r="S26" s="928"/>
      <c r="T26" s="928"/>
      <c r="U26" s="928"/>
      <c r="V26" s="928"/>
      <c r="W26" s="928"/>
      <c r="X26" s="928"/>
      <c r="Y26" s="928"/>
      <c r="Z26" s="928"/>
      <c r="AA26" s="928"/>
      <c r="AB26" s="928"/>
      <c r="AC26" s="85"/>
      <c r="AO26" s="99"/>
      <c r="AP26" s="92"/>
      <c r="AQ26" s="92"/>
      <c r="AR26" s="92"/>
    </row>
    <row r="27" spans="2:44" ht="19.5" customHeight="1" x14ac:dyDescent="0.2">
      <c r="B27" s="100"/>
      <c r="C27" s="100"/>
      <c r="D27" s="100"/>
      <c r="E27" s="101"/>
      <c r="F27" s="101"/>
      <c r="G27" s="101"/>
      <c r="H27" s="101"/>
      <c r="I27" s="101"/>
      <c r="J27" s="101"/>
      <c r="K27" s="101"/>
      <c r="L27" s="101"/>
      <c r="M27" s="101"/>
      <c r="N27" s="101"/>
      <c r="O27" s="93"/>
      <c r="P27" s="928"/>
      <c r="Q27" s="928"/>
      <c r="R27" s="928"/>
      <c r="S27" s="928"/>
      <c r="T27" s="928"/>
      <c r="U27" s="928"/>
      <c r="V27" s="928"/>
      <c r="W27" s="928"/>
      <c r="X27" s="928"/>
      <c r="Y27" s="928"/>
      <c r="Z27" s="928"/>
      <c r="AA27" s="928"/>
      <c r="AB27" s="928"/>
      <c r="AC27" s="85"/>
      <c r="AJ27" s="930"/>
      <c r="AK27" s="930"/>
      <c r="AL27" s="930"/>
      <c r="AM27" s="95"/>
      <c r="AO27" s="98"/>
      <c r="AP27" s="92"/>
      <c r="AQ27" s="92"/>
      <c r="AR27" s="92"/>
    </row>
    <row r="28" spans="2:44" ht="19.5" customHeight="1" x14ac:dyDescent="0.2">
      <c r="B28" s="100"/>
      <c r="C28" s="100"/>
      <c r="D28" s="100"/>
      <c r="E28" s="101"/>
      <c r="F28" s="101"/>
      <c r="G28" s="101"/>
      <c r="H28" s="101"/>
      <c r="I28" s="101"/>
      <c r="J28" s="101"/>
      <c r="K28" s="101"/>
      <c r="L28" s="101"/>
      <c r="M28" s="101"/>
      <c r="N28" s="101"/>
      <c r="O28" s="93"/>
      <c r="P28" s="928"/>
      <c r="Q28" s="928"/>
      <c r="R28" s="928"/>
      <c r="S28" s="928"/>
      <c r="T28" s="928"/>
      <c r="U28" s="928"/>
      <c r="V28" s="928"/>
      <c r="W28" s="928"/>
      <c r="X28" s="928"/>
      <c r="Y28" s="928"/>
      <c r="Z28" s="928"/>
      <c r="AA28" s="928"/>
      <c r="AB28" s="928"/>
      <c r="AC28" s="85"/>
      <c r="AM28" s="95"/>
      <c r="AO28" s="98"/>
      <c r="AP28" s="92"/>
      <c r="AQ28" s="92"/>
      <c r="AR28" s="92"/>
    </row>
    <row r="29" spans="2:44" ht="19.5" customHeight="1" x14ac:dyDescent="0.2">
      <c r="B29" s="67"/>
      <c r="C29" s="67"/>
      <c r="D29" s="67"/>
      <c r="E29" s="67"/>
      <c r="F29" s="67"/>
      <c r="G29" s="67"/>
      <c r="H29" s="67"/>
      <c r="I29" s="67"/>
      <c r="J29" s="67"/>
      <c r="K29" s="67"/>
      <c r="L29" s="67"/>
      <c r="N29" s="67"/>
      <c r="O29" s="67"/>
      <c r="P29" s="67"/>
      <c r="Q29" s="67"/>
      <c r="R29" s="67"/>
      <c r="S29" s="67"/>
      <c r="T29" s="67"/>
      <c r="U29" s="67"/>
      <c r="V29" s="67"/>
      <c r="W29" s="67"/>
      <c r="X29" s="67"/>
      <c r="Y29" s="67"/>
      <c r="Z29" s="67"/>
      <c r="AA29" s="67"/>
      <c r="AB29" s="67"/>
      <c r="AC29" s="85"/>
      <c r="AM29" s="95"/>
      <c r="AO29" s="98"/>
      <c r="AP29" s="92"/>
      <c r="AQ29" s="92"/>
      <c r="AR29" s="92"/>
    </row>
    <row r="30" spans="2:44" ht="19.5" customHeight="1" x14ac:dyDescent="0.2">
      <c r="B30" s="67"/>
      <c r="C30" s="67"/>
      <c r="D30" s="67"/>
      <c r="E30" s="67"/>
      <c r="F30" s="67"/>
      <c r="G30" s="67"/>
      <c r="H30" s="67"/>
      <c r="I30" s="67"/>
      <c r="J30" s="67"/>
      <c r="K30" s="67"/>
      <c r="L30" s="67"/>
      <c r="N30" s="67"/>
      <c r="O30" s="67"/>
      <c r="P30" s="67"/>
      <c r="Q30" s="67"/>
      <c r="R30" s="67"/>
      <c r="S30" s="67"/>
      <c r="T30" s="67"/>
      <c r="U30" s="67"/>
      <c r="V30" s="67"/>
      <c r="W30" s="67"/>
      <c r="X30" s="67"/>
      <c r="Y30" s="67"/>
      <c r="Z30" s="67"/>
      <c r="AA30" s="67"/>
      <c r="AB30" s="67"/>
      <c r="AC30" s="85"/>
      <c r="AM30" s="95"/>
    </row>
    <row r="31" spans="2:44" ht="19.5" customHeight="1" x14ac:dyDescent="0.2">
      <c r="B31" s="67"/>
      <c r="C31" s="67"/>
      <c r="D31" s="67"/>
      <c r="E31" s="67"/>
      <c r="F31" s="67"/>
      <c r="G31" s="67"/>
      <c r="H31" s="67"/>
      <c r="I31" s="67"/>
      <c r="J31" s="67"/>
      <c r="K31" s="67"/>
      <c r="L31" s="67"/>
      <c r="N31" s="67"/>
      <c r="O31" s="67"/>
      <c r="P31" s="67"/>
      <c r="Q31" s="67"/>
      <c r="R31" s="67"/>
      <c r="S31" s="67"/>
      <c r="T31" s="67"/>
      <c r="U31" s="67"/>
      <c r="V31" s="67"/>
      <c r="W31" s="67"/>
      <c r="X31" s="67"/>
      <c r="Y31" s="67"/>
      <c r="Z31" s="67"/>
      <c r="AA31" s="67"/>
      <c r="AB31" s="67"/>
      <c r="AC31" s="85"/>
      <c r="AM31" s="95"/>
    </row>
    <row r="32" spans="2:44" ht="19.5" customHeight="1" x14ac:dyDescent="0.2">
      <c r="B32" s="67"/>
      <c r="C32" s="67"/>
      <c r="D32" s="67"/>
      <c r="E32" s="67"/>
      <c r="F32" s="67"/>
      <c r="G32" s="67"/>
      <c r="H32" s="67"/>
      <c r="I32" s="67"/>
      <c r="J32" s="67"/>
      <c r="K32" s="67"/>
      <c r="L32" s="67"/>
      <c r="N32" s="67"/>
      <c r="O32" s="67"/>
      <c r="P32" s="67"/>
      <c r="Q32" s="67"/>
      <c r="R32" s="67"/>
      <c r="S32" s="67"/>
      <c r="T32" s="67"/>
      <c r="U32" s="67"/>
      <c r="V32" s="67"/>
      <c r="W32" s="67"/>
      <c r="X32" s="67"/>
      <c r="Y32" s="67"/>
      <c r="Z32" s="67"/>
      <c r="AA32" s="67"/>
      <c r="AB32" s="67"/>
      <c r="AC32" s="85"/>
      <c r="AI32" s="102"/>
      <c r="AJ32" s="930"/>
      <c r="AK32" s="930"/>
      <c r="AL32" s="930"/>
      <c r="AM32" s="95"/>
    </row>
    <row r="33" spans="1:48" ht="19.5" customHeight="1" x14ac:dyDescent="0.2">
      <c r="B33" s="83"/>
      <c r="AC33" s="85"/>
      <c r="AM33" s="95"/>
    </row>
    <row r="34" spans="1:48" ht="19.5" customHeight="1" x14ac:dyDescent="0.2">
      <c r="M34" s="66"/>
      <c r="O34" s="66"/>
      <c r="U34" s="103"/>
      <c r="V34" s="103"/>
      <c r="X34" s="103"/>
      <c r="Y34" s="103"/>
      <c r="AC34" s="85"/>
      <c r="AM34" s="95"/>
    </row>
    <row r="35" spans="1:48" ht="19.5" customHeight="1" x14ac:dyDescent="0.2">
      <c r="M35" s="66"/>
      <c r="O35" s="66"/>
      <c r="U35" s="103"/>
      <c r="V35" s="103"/>
      <c r="X35" s="103"/>
      <c r="Y35" s="103"/>
      <c r="AC35" s="85"/>
      <c r="AT35" s="67"/>
      <c r="AV35" s="70"/>
    </row>
    <row r="36" spans="1:48" ht="19.5" customHeight="1" x14ac:dyDescent="0.2">
      <c r="B36" s="689" t="s">
        <v>656</v>
      </c>
      <c r="C36" s="690"/>
      <c r="D36" s="690"/>
      <c r="E36" s="690"/>
      <c r="F36" s="690"/>
      <c r="G36" s="690"/>
      <c r="H36" s="690"/>
      <c r="I36" s="690"/>
      <c r="J36" s="690"/>
      <c r="K36" s="690"/>
      <c r="L36" s="690"/>
      <c r="M36" s="691"/>
      <c r="N36" s="690"/>
      <c r="O36" s="692"/>
      <c r="P36" s="690"/>
      <c r="Q36" s="690"/>
      <c r="R36" s="690"/>
      <c r="S36" s="690"/>
      <c r="T36" s="690"/>
      <c r="U36" s="690"/>
      <c r="V36" s="690"/>
      <c r="W36" s="690"/>
      <c r="X36" s="690"/>
      <c r="Y36" s="690"/>
      <c r="Z36" s="690"/>
      <c r="AA36" s="690"/>
      <c r="AB36" s="690"/>
      <c r="AC36" s="85"/>
      <c r="AM36" s="95"/>
      <c r="AT36" s="67"/>
      <c r="AV36" s="70"/>
    </row>
    <row r="37" spans="1:48" ht="19.5" customHeight="1" x14ac:dyDescent="0.2">
      <c r="B37" s="926" t="s">
        <v>657</v>
      </c>
      <c r="C37" s="926" t="s">
        <v>658</v>
      </c>
      <c r="D37" s="926"/>
      <c r="E37" s="926"/>
      <c r="F37" s="926"/>
      <c r="G37" s="926"/>
      <c r="H37" s="926" t="s">
        <v>659</v>
      </c>
      <c r="I37" s="926"/>
      <c r="J37" s="926"/>
      <c r="K37" s="926" t="s">
        <v>660</v>
      </c>
      <c r="L37" s="926"/>
      <c r="M37" s="926"/>
      <c r="N37" s="926"/>
      <c r="O37" s="926"/>
      <c r="P37" s="926"/>
      <c r="Q37" s="926"/>
      <c r="R37" s="926"/>
      <c r="S37" s="701"/>
      <c r="T37" s="701"/>
      <c r="U37" s="914" t="s">
        <v>661</v>
      </c>
      <c r="V37" s="914"/>
      <c r="W37" s="914"/>
      <c r="X37" s="914" t="s">
        <v>662</v>
      </c>
      <c r="Y37" s="914"/>
      <c r="Z37" s="914"/>
      <c r="AA37" s="701"/>
      <c r="AB37" s="701"/>
      <c r="AC37" s="85"/>
      <c r="AT37" s="67"/>
      <c r="AV37" s="70"/>
    </row>
    <row r="38" spans="1:48" ht="19.5" customHeight="1" x14ac:dyDescent="0.2">
      <c r="B38" s="927"/>
      <c r="C38" s="927"/>
      <c r="D38" s="927"/>
      <c r="E38" s="927"/>
      <c r="F38" s="927"/>
      <c r="G38" s="927"/>
      <c r="H38" s="927"/>
      <c r="I38" s="927"/>
      <c r="J38" s="927"/>
      <c r="K38" s="927"/>
      <c r="L38" s="927"/>
      <c r="M38" s="927"/>
      <c r="N38" s="927"/>
      <c r="O38" s="927"/>
      <c r="P38" s="927"/>
      <c r="Q38" s="927"/>
      <c r="R38" s="927"/>
      <c r="S38" s="690"/>
      <c r="T38" s="690"/>
      <c r="U38" s="915"/>
      <c r="V38" s="915"/>
      <c r="W38" s="915"/>
      <c r="X38" s="915"/>
      <c r="Y38" s="915"/>
      <c r="Z38" s="915"/>
      <c r="AA38" s="690"/>
      <c r="AB38" s="690"/>
      <c r="AC38" s="85"/>
      <c r="AM38" s="95"/>
      <c r="AT38" s="67"/>
      <c r="AV38" s="70"/>
    </row>
    <row r="39" spans="1:48" ht="19.5" customHeight="1" x14ac:dyDescent="0.2">
      <c r="B39" s="694">
        <v>1</v>
      </c>
      <c r="C39" s="693" t="s">
        <v>643</v>
      </c>
      <c r="D39" s="693"/>
      <c r="E39" s="693"/>
      <c r="F39" s="693"/>
      <c r="G39" s="693"/>
      <c r="H39" s="940"/>
      <c r="I39" s="940"/>
      <c r="J39" s="940"/>
      <c r="K39" s="408" t="s">
        <v>645</v>
      </c>
      <c r="L39" s="693"/>
      <c r="M39" s="693"/>
      <c r="N39" s="693"/>
      <c r="O39" s="693"/>
      <c r="P39" s="693"/>
      <c r="Q39" s="693"/>
      <c r="R39" s="693"/>
      <c r="S39" s="695"/>
      <c r="T39" s="693"/>
      <c r="U39" s="913">
        <v>1.02</v>
      </c>
      <c r="V39" s="913"/>
      <c r="W39" s="697">
        <f t="shared" ref="W39:W86" si="0">X39/U39</f>
        <v>1.196078431372549</v>
      </c>
      <c r="X39" s="913">
        <v>1.22</v>
      </c>
      <c r="Y39" s="913"/>
      <c r="Z39" s="693"/>
      <c r="AA39" s="693" t="s">
        <v>1063</v>
      </c>
      <c r="AB39" s="693"/>
      <c r="AC39" s="85"/>
      <c r="AD39" s="104"/>
      <c r="AI39" s="102"/>
      <c r="AJ39" s="930"/>
      <c r="AK39" s="930"/>
      <c r="AL39" s="930"/>
      <c r="AM39" s="95"/>
      <c r="AT39" s="67"/>
      <c r="AV39" s="70"/>
    </row>
    <row r="40" spans="1:48" ht="19.5" customHeight="1" x14ac:dyDescent="0.2">
      <c r="A40" s="80" t="s">
        <v>62</v>
      </c>
      <c r="B40" s="698">
        <v>2</v>
      </c>
      <c r="C40" s="693" t="s">
        <v>644</v>
      </c>
      <c r="D40" s="693"/>
      <c r="E40" s="693"/>
      <c r="F40" s="693"/>
      <c r="G40" s="693"/>
      <c r="H40" s="940"/>
      <c r="I40" s="940"/>
      <c r="J40" s="940"/>
      <c r="K40" s="408" t="s">
        <v>1067</v>
      </c>
      <c r="L40" s="693"/>
      <c r="M40" s="693"/>
      <c r="N40" s="693"/>
      <c r="O40" s="693"/>
      <c r="P40" s="693"/>
      <c r="Q40" s="693"/>
      <c r="R40" s="693"/>
      <c r="S40" s="695"/>
      <c r="T40" s="693"/>
      <c r="U40" s="913">
        <v>0.86</v>
      </c>
      <c r="V40" s="913"/>
      <c r="W40" s="697">
        <f t="shared" si="0"/>
        <v>1.1744186046511629</v>
      </c>
      <c r="X40" s="913">
        <v>1.01</v>
      </c>
      <c r="Y40" s="913"/>
      <c r="Z40" s="693"/>
      <c r="AA40" s="693" t="s">
        <v>1063</v>
      </c>
      <c r="AB40" s="693"/>
      <c r="AC40" s="85"/>
      <c r="AD40" s="104"/>
      <c r="AI40" s="105"/>
      <c r="AJ40" s="930"/>
      <c r="AK40" s="930"/>
      <c r="AL40" s="930"/>
      <c r="AM40" s="95"/>
      <c r="AT40" s="67"/>
      <c r="AV40" s="70"/>
    </row>
    <row r="41" spans="1:48" ht="19.5" customHeight="1" x14ac:dyDescent="0.2">
      <c r="B41" s="694">
        <v>3</v>
      </c>
      <c r="C41" s="693" t="s">
        <v>632</v>
      </c>
      <c r="D41" s="693"/>
      <c r="E41" s="693"/>
      <c r="F41" s="693"/>
      <c r="G41" s="693"/>
      <c r="H41" s="940"/>
      <c r="I41" s="940"/>
      <c r="J41" s="940"/>
      <c r="K41" s="408" t="s">
        <v>663</v>
      </c>
      <c r="L41" s="693"/>
      <c r="M41" s="693"/>
      <c r="N41" s="693"/>
      <c r="O41" s="693"/>
      <c r="P41" s="693"/>
      <c r="Q41" s="693"/>
      <c r="R41" s="693"/>
      <c r="S41" s="695"/>
      <c r="T41" s="693"/>
      <c r="U41" s="913">
        <v>0.97</v>
      </c>
      <c r="V41" s="913"/>
      <c r="W41" s="697">
        <f t="shared" si="0"/>
        <v>1.1649484536082473</v>
      </c>
      <c r="X41" s="913">
        <v>1.1299999999999999</v>
      </c>
      <c r="Y41" s="913"/>
      <c r="Z41" s="693"/>
      <c r="AA41" s="693" t="s">
        <v>1063</v>
      </c>
      <c r="AB41" s="693"/>
      <c r="AC41" s="85"/>
      <c r="AD41" s="104"/>
      <c r="AM41" s="95"/>
      <c r="AT41" s="67"/>
      <c r="AV41" s="70"/>
    </row>
    <row r="42" spans="1:48" ht="19.5" customHeight="1" x14ac:dyDescent="0.2">
      <c r="B42" s="694">
        <v>4</v>
      </c>
      <c r="C42" s="693" t="s">
        <v>631</v>
      </c>
      <c r="D42" s="693"/>
      <c r="E42" s="693"/>
      <c r="F42" s="693"/>
      <c r="G42" s="693"/>
      <c r="H42" s="940"/>
      <c r="I42" s="940"/>
      <c r="J42" s="940"/>
      <c r="K42" s="408" t="s">
        <v>664</v>
      </c>
      <c r="L42" s="693"/>
      <c r="M42" s="693"/>
      <c r="N42" s="693"/>
      <c r="O42" s="693"/>
      <c r="P42" s="693"/>
      <c r="Q42" s="693"/>
      <c r="R42" s="693"/>
      <c r="S42" s="695"/>
      <c r="T42" s="693"/>
      <c r="U42" s="913">
        <v>1.05</v>
      </c>
      <c r="V42" s="913"/>
      <c r="W42" s="697">
        <f t="shared" si="0"/>
        <v>1.1904761904761905</v>
      </c>
      <c r="X42" s="913">
        <v>1.25</v>
      </c>
      <c r="Y42" s="913"/>
      <c r="Z42" s="693"/>
      <c r="AA42" s="693" t="s">
        <v>1063</v>
      </c>
      <c r="AB42" s="693"/>
      <c r="AC42" s="85"/>
      <c r="AD42" s="104"/>
      <c r="AM42" s="95"/>
      <c r="AT42" s="67"/>
      <c r="AV42" s="70"/>
    </row>
    <row r="43" spans="1:48" ht="19.5" customHeight="1" x14ac:dyDescent="0.2">
      <c r="B43" s="694">
        <v>5</v>
      </c>
      <c r="C43" s="693" t="s">
        <v>1088</v>
      </c>
      <c r="D43" s="693"/>
      <c r="E43" s="693"/>
      <c r="F43" s="693"/>
      <c r="G43" s="693"/>
      <c r="H43" s="940"/>
      <c r="I43" s="940"/>
      <c r="J43" s="940"/>
      <c r="K43" s="408" t="s">
        <v>1090</v>
      </c>
      <c r="L43" s="693"/>
      <c r="M43" s="693"/>
      <c r="N43" s="693"/>
      <c r="O43" s="693"/>
      <c r="P43" s="693"/>
      <c r="Q43" s="693"/>
      <c r="R43" s="693"/>
      <c r="S43" s="695"/>
      <c r="T43" s="693"/>
      <c r="U43" s="913">
        <v>1.1459999999999999</v>
      </c>
      <c r="V43" s="913"/>
      <c r="W43" s="697">
        <f t="shared" si="0"/>
        <v>1.1169284467713789</v>
      </c>
      <c r="X43" s="913">
        <v>1.28</v>
      </c>
      <c r="Y43" s="913"/>
      <c r="Z43" s="693"/>
      <c r="AA43" s="693" t="s">
        <v>1063</v>
      </c>
      <c r="AB43" s="693"/>
      <c r="AC43" s="85"/>
      <c r="AD43" s="104"/>
      <c r="AM43" s="95"/>
      <c r="AT43" s="67"/>
      <c r="AV43" s="70"/>
    </row>
    <row r="44" spans="1:48" ht="19.5" customHeight="1" x14ac:dyDescent="0.2">
      <c r="A44" s="80" t="s">
        <v>62</v>
      </c>
      <c r="B44" s="698">
        <v>6</v>
      </c>
      <c r="C44" s="693" t="s">
        <v>630</v>
      </c>
      <c r="D44" s="693"/>
      <c r="E44" s="693"/>
      <c r="F44" s="693"/>
      <c r="G44" s="693"/>
      <c r="H44" s="940"/>
      <c r="I44" s="940"/>
      <c r="J44" s="940"/>
      <c r="K44" s="408" t="s">
        <v>665</v>
      </c>
      <c r="L44" s="693"/>
      <c r="M44" s="693"/>
      <c r="N44" s="693"/>
      <c r="O44" s="693"/>
      <c r="P44" s="693"/>
      <c r="Q44" s="693"/>
      <c r="R44" s="693"/>
      <c r="S44" s="695"/>
      <c r="T44" s="693"/>
      <c r="U44" s="913">
        <v>1.2</v>
      </c>
      <c r="V44" s="913"/>
      <c r="W44" s="697">
        <f t="shared" si="0"/>
        <v>1.1499999999999999</v>
      </c>
      <c r="X44" s="913">
        <v>1.38</v>
      </c>
      <c r="Y44" s="913"/>
      <c r="Z44" s="693"/>
      <c r="AA44" s="693" t="s">
        <v>1063</v>
      </c>
      <c r="AB44" s="693"/>
      <c r="AC44" s="85"/>
      <c r="AD44" s="104"/>
      <c r="AT44" s="67"/>
      <c r="AV44" s="70"/>
    </row>
    <row r="45" spans="1:48" ht="19.5" customHeight="1" x14ac:dyDescent="0.2">
      <c r="A45" s="80" t="s">
        <v>62</v>
      </c>
      <c r="B45" s="694">
        <v>7</v>
      </c>
      <c r="C45" s="693" t="s">
        <v>1087</v>
      </c>
      <c r="D45" s="693"/>
      <c r="E45" s="693"/>
      <c r="F45" s="693"/>
      <c r="G45" s="693"/>
      <c r="H45" s="693"/>
      <c r="I45" s="693"/>
      <c r="J45" s="693"/>
      <c r="K45" s="408" t="s">
        <v>1089</v>
      </c>
      <c r="L45" s="693"/>
      <c r="M45" s="693"/>
      <c r="N45" s="693"/>
      <c r="O45" s="693"/>
      <c r="P45" s="693"/>
      <c r="Q45" s="693"/>
      <c r="R45" s="693"/>
      <c r="S45" s="695"/>
      <c r="T45" s="693"/>
      <c r="U45" s="913">
        <v>1.29</v>
      </c>
      <c r="V45" s="913"/>
      <c r="W45" s="697">
        <f t="shared" si="0"/>
        <v>1.0930232558139534</v>
      </c>
      <c r="X45" s="913">
        <v>1.41</v>
      </c>
      <c r="Y45" s="913"/>
      <c r="Z45" s="693"/>
      <c r="AA45" s="693" t="s">
        <v>1063</v>
      </c>
      <c r="AB45" s="693"/>
      <c r="AC45" s="85"/>
      <c r="AD45" s="104"/>
      <c r="AI45" s="105"/>
      <c r="AJ45" s="938"/>
      <c r="AK45" s="938"/>
      <c r="AL45" s="938"/>
      <c r="AT45" s="67"/>
      <c r="AV45" s="70"/>
    </row>
    <row r="46" spans="1:48" ht="19.5" customHeight="1" x14ac:dyDescent="0.2">
      <c r="B46" s="694">
        <v>8</v>
      </c>
      <c r="C46" s="693" t="s">
        <v>1099</v>
      </c>
      <c r="D46" s="693"/>
      <c r="E46" s="693"/>
      <c r="F46" s="693"/>
      <c r="G46" s="693"/>
      <c r="H46" s="693"/>
      <c r="I46" s="693"/>
      <c r="J46" s="693"/>
      <c r="K46" s="408" t="s">
        <v>1451</v>
      </c>
      <c r="L46" s="693"/>
      <c r="M46" s="693"/>
      <c r="N46" s="693"/>
      <c r="O46" s="693"/>
      <c r="P46" s="693"/>
      <c r="Q46" s="693"/>
      <c r="R46" s="693"/>
      <c r="S46" s="695"/>
      <c r="T46" s="693"/>
      <c r="U46" s="913">
        <v>1.28</v>
      </c>
      <c r="V46" s="913"/>
      <c r="W46" s="697">
        <f t="shared" si="0"/>
        <v>1.15625</v>
      </c>
      <c r="X46" s="913">
        <v>1.48</v>
      </c>
      <c r="Y46" s="913"/>
      <c r="Z46" s="693"/>
      <c r="AA46" s="693" t="s">
        <v>1063</v>
      </c>
      <c r="AB46" s="693"/>
      <c r="AC46" s="85"/>
      <c r="AO46" s="106"/>
      <c r="AT46" s="67"/>
      <c r="AV46" s="70"/>
    </row>
    <row r="47" spans="1:48" ht="19.5" customHeight="1" x14ac:dyDescent="0.2">
      <c r="B47" s="694">
        <v>9</v>
      </c>
      <c r="C47" s="693" t="s">
        <v>1459</v>
      </c>
      <c r="D47" s="693"/>
      <c r="E47" s="693"/>
      <c r="F47" s="693"/>
      <c r="G47" s="693"/>
      <c r="H47" s="693"/>
      <c r="I47" s="693"/>
      <c r="J47" s="693"/>
      <c r="K47" s="408" t="s">
        <v>1460</v>
      </c>
      <c r="L47" s="693"/>
      <c r="M47" s="693"/>
      <c r="N47" s="693"/>
      <c r="O47" s="693"/>
      <c r="P47" s="693"/>
      <c r="Q47" s="693"/>
      <c r="R47" s="693"/>
      <c r="S47" s="695"/>
      <c r="T47" s="693"/>
      <c r="U47" s="913">
        <v>1.27</v>
      </c>
      <c r="V47" s="913"/>
      <c r="W47" s="697">
        <f t="shared" si="0"/>
        <v>1.1968503937007875</v>
      </c>
      <c r="X47" s="913">
        <v>1.52</v>
      </c>
      <c r="Y47" s="913"/>
      <c r="Z47" s="693"/>
      <c r="AA47" s="693"/>
      <c r="AB47" s="693"/>
      <c r="AC47" s="85"/>
      <c r="AI47" s="105"/>
      <c r="AJ47" s="938"/>
      <c r="AK47" s="938"/>
      <c r="AL47" s="938"/>
      <c r="AO47" s="106"/>
      <c r="AT47" s="67"/>
      <c r="AV47" s="70"/>
    </row>
    <row r="48" spans="1:48" ht="19.5" customHeight="1" x14ac:dyDescent="0.2">
      <c r="B48" s="694">
        <v>10</v>
      </c>
      <c r="C48" s="693" t="s">
        <v>629</v>
      </c>
      <c r="D48" s="693"/>
      <c r="E48" s="693"/>
      <c r="F48" s="693"/>
      <c r="G48" s="693"/>
      <c r="H48" s="693"/>
      <c r="I48" s="693"/>
      <c r="J48" s="693"/>
      <c r="K48" s="408" t="s">
        <v>1068</v>
      </c>
      <c r="L48" s="693"/>
      <c r="M48" s="693"/>
      <c r="N48" s="693"/>
      <c r="O48" s="693"/>
      <c r="P48" s="693"/>
      <c r="Q48" s="693"/>
      <c r="R48" s="693"/>
      <c r="S48" s="695"/>
      <c r="T48" s="693"/>
      <c r="U48" s="913">
        <v>1.4</v>
      </c>
      <c r="V48" s="913"/>
      <c r="W48" s="697">
        <f t="shared" si="0"/>
        <v>1.1071428571428572</v>
      </c>
      <c r="X48" s="913">
        <v>1.55</v>
      </c>
      <c r="Y48" s="913"/>
      <c r="Z48" s="693"/>
      <c r="AA48" s="693" t="s">
        <v>1063</v>
      </c>
      <c r="AB48" s="693"/>
      <c r="AC48" s="85"/>
      <c r="AM48" s="95"/>
      <c r="AT48" s="67"/>
      <c r="AV48" s="70"/>
    </row>
    <row r="49" spans="1:48" ht="19.5" customHeight="1" x14ac:dyDescent="0.2">
      <c r="B49" s="694">
        <v>11</v>
      </c>
      <c r="C49" s="693" t="s">
        <v>1455</v>
      </c>
      <c r="D49" s="693"/>
      <c r="E49" s="693"/>
      <c r="F49" s="693"/>
      <c r="G49" s="693"/>
      <c r="H49" s="693"/>
      <c r="I49" s="693"/>
      <c r="J49" s="693"/>
      <c r="K49" s="408" t="s">
        <v>673</v>
      </c>
      <c r="L49" s="693"/>
      <c r="M49" s="693"/>
      <c r="N49" s="693"/>
      <c r="O49" s="693"/>
      <c r="P49" s="693"/>
      <c r="Q49" s="693"/>
      <c r="R49" s="693"/>
      <c r="S49" s="695"/>
      <c r="T49" s="693"/>
      <c r="U49" s="913">
        <v>1.29</v>
      </c>
      <c r="V49" s="913"/>
      <c r="W49" s="697">
        <f t="shared" si="0"/>
        <v>1.1472868217054264</v>
      </c>
      <c r="X49" s="913">
        <v>1.48</v>
      </c>
      <c r="Y49" s="913"/>
      <c r="Z49" s="693"/>
      <c r="AA49" s="693" t="s">
        <v>1063</v>
      </c>
      <c r="AB49" s="693"/>
      <c r="AC49" s="85"/>
      <c r="AM49" s="95"/>
      <c r="AT49" s="67"/>
      <c r="AV49" s="70"/>
    </row>
    <row r="50" spans="1:48" ht="19.5" customHeight="1" x14ac:dyDescent="0.2">
      <c r="B50" s="694">
        <v>12</v>
      </c>
      <c r="C50" s="693" t="s">
        <v>1456</v>
      </c>
      <c r="D50" s="693"/>
      <c r="E50" s="693"/>
      <c r="F50" s="693"/>
      <c r="G50" s="693"/>
      <c r="H50" s="693"/>
      <c r="I50" s="693"/>
      <c r="J50" s="693"/>
      <c r="K50" s="408" t="s">
        <v>674</v>
      </c>
      <c r="L50" s="693"/>
      <c r="M50" s="693"/>
      <c r="N50" s="693"/>
      <c r="O50" s="693"/>
      <c r="P50" s="693"/>
      <c r="Q50" s="693"/>
      <c r="R50" s="693"/>
      <c r="S50" s="695"/>
      <c r="T50" s="693"/>
      <c r="U50" s="913">
        <v>1.5</v>
      </c>
      <c r="V50" s="913"/>
      <c r="W50" s="697">
        <f t="shared" si="0"/>
        <v>1.1333333333333333</v>
      </c>
      <c r="X50" s="913">
        <v>1.7</v>
      </c>
      <c r="Y50" s="913"/>
      <c r="Z50" s="693"/>
      <c r="AA50" s="693" t="s">
        <v>1063</v>
      </c>
      <c r="AB50" s="693"/>
      <c r="AC50" s="85"/>
      <c r="AM50" s="95"/>
      <c r="AT50" s="67"/>
      <c r="AV50" s="70"/>
    </row>
    <row r="51" spans="1:48" ht="19.5" customHeight="1" x14ac:dyDescent="0.2">
      <c r="B51" s="694">
        <v>13</v>
      </c>
      <c r="C51" s="693" t="s">
        <v>652</v>
      </c>
      <c r="D51" s="693"/>
      <c r="E51" s="693"/>
      <c r="F51" s="693"/>
      <c r="G51" s="693"/>
      <c r="H51" s="693" t="s">
        <v>654</v>
      </c>
      <c r="I51" s="693"/>
      <c r="J51" s="693"/>
      <c r="K51" s="408" t="s">
        <v>1457</v>
      </c>
      <c r="L51" s="693"/>
      <c r="M51" s="693"/>
      <c r="N51" s="693"/>
      <c r="O51" s="693"/>
      <c r="P51" s="693"/>
      <c r="Q51" s="693"/>
      <c r="R51" s="693"/>
      <c r="S51" s="695"/>
      <c r="T51" s="693"/>
      <c r="U51" s="913">
        <v>1.53</v>
      </c>
      <c r="V51" s="913"/>
      <c r="W51" s="697">
        <f t="shared" si="0"/>
        <v>1.0784313725490196</v>
      </c>
      <c r="X51" s="913">
        <v>1.65</v>
      </c>
      <c r="Y51" s="913"/>
      <c r="Z51" s="693"/>
      <c r="AA51" s="693" t="s">
        <v>1063</v>
      </c>
      <c r="AB51" s="693"/>
      <c r="AC51" s="85"/>
      <c r="AM51" s="95"/>
      <c r="AT51" s="67"/>
      <c r="AV51" s="70"/>
    </row>
    <row r="52" spans="1:48" ht="19.5" customHeight="1" x14ac:dyDescent="0.2">
      <c r="B52" s="694">
        <v>14</v>
      </c>
      <c r="C52" s="693" t="s">
        <v>651</v>
      </c>
      <c r="D52" s="693"/>
      <c r="E52" s="693"/>
      <c r="F52" s="693"/>
      <c r="G52" s="693"/>
      <c r="H52" s="693" t="s">
        <v>655</v>
      </c>
      <c r="I52" s="693"/>
      <c r="J52" s="693"/>
      <c r="K52" s="408" t="s">
        <v>1458</v>
      </c>
      <c r="L52" s="693"/>
      <c r="M52" s="693"/>
      <c r="N52" s="693"/>
      <c r="O52" s="693"/>
      <c r="P52" s="693"/>
      <c r="Q52" s="693"/>
      <c r="R52" s="693"/>
      <c r="S52" s="695"/>
      <c r="T52" s="693"/>
      <c r="U52" s="913">
        <v>1.66</v>
      </c>
      <c r="V52" s="913"/>
      <c r="W52" s="697">
        <f t="shared" si="0"/>
        <v>1.072289156626506</v>
      </c>
      <c r="X52" s="913">
        <v>1.78</v>
      </c>
      <c r="Y52" s="913"/>
      <c r="Z52" s="693"/>
      <c r="AA52" s="693" t="s">
        <v>1063</v>
      </c>
      <c r="AB52" s="693"/>
      <c r="AC52" s="85"/>
      <c r="AM52" s="95"/>
      <c r="AT52" s="67"/>
      <c r="AV52" s="70"/>
    </row>
    <row r="53" spans="1:48" ht="19.5" customHeight="1" x14ac:dyDescent="0.2">
      <c r="B53" s="694">
        <v>15</v>
      </c>
      <c r="C53" s="693" t="s">
        <v>638</v>
      </c>
      <c r="D53" s="693"/>
      <c r="E53" s="693"/>
      <c r="F53" s="693"/>
      <c r="G53" s="693"/>
      <c r="H53" s="693"/>
      <c r="I53" s="693"/>
      <c r="J53" s="693"/>
      <c r="K53" s="408" t="s">
        <v>666</v>
      </c>
      <c r="L53" s="693"/>
      <c r="M53" s="693"/>
      <c r="N53" s="693"/>
      <c r="O53" s="693"/>
      <c r="P53" s="693"/>
      <c r="Q53" s="693"/>
      <c r="R53" s="693"/>
      <c r="S53" s="695"/>
      <c r="T53" s="693"/>
      <c r="U53" s="913">
        <v>0.95</v>
      </c>
      <c r="V53" s="913"/>
      <c r="W53" s="697">
        <f t="shared" si="0"/>
        <v>1.2210526315789474</v>
      </c>
      <c r="X53" s="913">
        <v>1.1599999999999999</v>
      </c>
      <c r="Y53" s="913"/>
      <c r="Z53" s="693"/>
      <c r="AA53" s="693" t="s">
        <v>1063</v>
      </c>
      <c r="AB53" s="693"/>
      <c r="AC53" s="85"/>
      <c r="AM53" s="95"/>
      <c r="AT53" s="67"/>
      <c r="AV53" s="70"/>
    </row>
    <row r="54" spans="1:48" ht="19.5" customHeight="1" x14ac:dyDescent="0.2">
      <c r="B54" s="694">
        <v>16</v>
      </c>
      <c r="C54" s="693" t="s">
        <v>639</v>
      </c>
      <c r="D54" s="693"/>
      <c r="E54" s="693"/>
      <c r="F54" s="693"/>
      <c r="G54" s="693"/>
      <c r="H54" s="693"/>
      <c r="I54" s="693"/>
      <c r="J54" s="693"/>
      <c r="K54" s="408" t="s">
        <v>667</v>
      </c>
      <c r="L54" s="693"/>
      <c r="M54" s="693"/>
      <c r="N54" s="693"/>
      <c r="O54" s="693"/>
      <c r="P54" s="693"/>
      <c r="Q54" s="693"/>
      <c r="R54" s="693"/>
      <c r="S54" s="695"/>
      <c r="T54" s="693"/>
      <c r="U54" s="913">
        <v>1.1000000000000001</v>
      </c>
      <c r="V54" s="913"/>
      <c r="W54" s="697">
        <f t="shared" si="0"/>
        <v>1.1454545454545453</v>
      </c>
      <c r="X54" s="913">
        <v>1.26</v>
      </c>
      <c r="Y54" s="913"/>
      <c r="Z54" s="693"/>
      <c r="AA54" s="693" t="s">
        <v>1063</v>
      </c>
      <c r="AB54" s="693"/>
      <c r="AC54" s="85"/>
      <c r="AM54" s="95"/>
      <c r="AT54" s="67"/>
      <c r="AV54" s="70"/>
    </row>
    <row r="55" spans="1:48" ht="19.5" customHeight="1" x14ac:dyDescent="0.2">
      <c r="A55" s="80" t="s">
        <v>62</v>
      </c>
      <c r="B55" s="694">
        <v>17</v>
      </c>
      <c r="C55" s="693" t="s">
        <v>640</v>
      </c>
      <c r="D55" s="693"/>
      <c r="E55" s="693"/>
      <c r="F55" s="693"/>
      <c r="G55" s="693"/>
      <c r="H55" s="693"/>
      <c r="I55" s="693"/>
      <c r="J55" s="693"/>
      <c r="K55" s="408" t="s">
        <v>668</v>
      </c>
      <c r="L55" s="693"/>
      <c r="M55" s="693"/>
      <c r="N55" s="693"/>
      <c r="O55" s="693"/>
      <c r="P55" s="693"/>
      <c r="Q55" s="693"/>
      <c r="R55" s="693"/>
      <c r="S55" s="695"/>
      <c r="T55" s="693"/>
      <c r="U55" s="913">
        <v>1.19</v>
      </c>
      <c r="V55" s="913"/>
      <c r="W55" s="697">
        <f t="shared" si="0"/>
        <v>1.1176470588235294</v>
      </c>
      <c r="X55" s="913">
        <v>1.33</v>
      </c>
      <c r="Y55" s="913"/>
      <c r="Z55" s="693"/>
      <c r="AA55" s="693" t="s">
        <v>1063</v>
      </c>
      <c r="AB55" s="693"/>
      <c r="AC55" s="85"/>
      <c r="AM55" s="95"/>
      <c r="AT55" s="67"/>
      <c r="AV55" s="70"/>
    </row>
    <row r="56" spans="1:48" ht="19.5" customHeight="1" x14ac:dyDescent="0.2">
      <c r="B56" s="694">
        <v>18</v>
      </c>
      <c r="C56" s="693" t="s">
        <v>641</v>
      </c>
      <c r="D56" s="693"/>
      <c r="E56" s="693"/>
      <c r="F56" s="693"/>
      <c r="G56" s="693"/>
      <c r="H56" s="693"/>
      <c r="I56" s="693"/>
      <c r="J56" s="693"/>
      <c r="K56" s="408" t="s">
        <v>669</v>
      </c>
      <c r="L56" s="693"/>
      <c r="M56" s="693"/>
      <c r="N56" s="693"/>
      <c r="O56" s="693"/>
      <c r="P56" s="693"/>
      <c r="Q56" s="693"/>
      <c r="R56" s="693"/>
      <c r="S56" s="695"/>
      <c r="T56" s="693"/>
      <c r="U56" s="913">
        <v>1.1599999999999999</v>
      </c>
      <c r="V56" s="913"/>
      <c r="W56" s="697">
        <f t="shared" si="0"/>
        <v>1.1896551724137931</v>
      </c>
      <c r="X56" s="913">
        <v>1.38</v>
      </c>
      <c r="Y56" s="913"/>
      <c r="Z56" s="693"/>
      <c r="AA56" s="693" t="s">
        <v>1063</v>
      </c>
      <c r="AB56" s="693"/>
      <c r="AC56" s="85"/>
      <c r="AI56" s="105"/>
      <c r="AJ56" s="938"/>
      <c r="AK56" s="938"/>
      <c r="AL56" s="938"/>
      <c r="AT56" s="67"/>
      <c r="AV56" s="70"/>
    </row>
    <row r="57" spans="1:48" ht="19.5" customHeight="1" x14ac:dyDescent="0.2">
      <c r="B57" s="694">
        <v>19</v>
      </c>
      <c r="C57" s="693" t="s">
        <v>642</v>
      </c>
      <c r="D57" s="693"/>
      <c r="E57" s="693"/>
      <c r="F57" s="693"/>
      <c r="G57" s="693"/>
      <c r="H57" s="693"/>
      <c r="I57" s="693"/>
      <c r="J57" s="693"/>
      <c r="K57" s="408" t="s">
        <v>670</v>
      </c>
      <c r="L57" s="693"/>
      <c r="M57" s="693"/>
      <c r="N57" s="693"/>
      <c r="O57" s="693"/>
      <c r="P57" s="693"/>
      <c r="Q57" s="693"/>
      <c r="R57" s="693"/>
      <c r="S57" s="695"/>
      <c r="T57" s="693"/>
      <c r="U57" s="913">
        <v>1.29</v>
      </c>
      <c r="V57" s="913"/>
      <c r="W57" s="697">
        <f t="shared" si="0"/>
        <v>1.0930232558139534</v>
      </c>
      <c r="X57" s="913">
        <v>1.41</v>
      </c>
      <c r="Y57" s="913"/>
      <c r="Z57" s="693"/>
      <c r="AA57" s="693" t="s">
        <v>1063</v>
      </c>
      <c r="AB57" s="693"/>
      <c r="AC57" s="85"/>
      <c r="AI57" s="105"/>
      <c r="AM57" s="95"/>
      <c r="AT57" s="67"/>
      <c r="AV57" s="70"/>
    </row>
    <row r="58" spans="1:48" ht="19.5" customHeight="1" x14ac:dyDescent="0.2">
      <c r="A58" s="80" t="s">
        <v>62</v>
      </c>
      <c r="B58" s="694">
        <v>20</v>
      </c>
      <c r="C58" s="693" t="s">
        <v>1100</v>
      </c>
      <c r="D58" s="693"/>
      <c r="E58" s="693"/>
      <c r="F58" s="693"/>
      <c r="G58" s="693"/>
      <c r="H58" s="693"/>
      <c r="I58" s="693"/>
      <c r="J58" s="693"/>
      <c r="K58" s="408" t="s">
        <v>1452</v>
      </c>
      <c r="L58" s="693"/>
      <c r="M58" s="699"/>
      <c r="N58" s="693"/>
      <c r="O58" s="694"/>
      <c r="P58" s="693"/>
      <c r="Q58" s="693"/>
      <c r="R58" s="693"/>
      <c r="S58" s="693"/>
      <c r="T58" s="693"/>
      <c r="U58" s="913">
        <v>1.35</v>
      </c>
      <c r="V58" s="913"/>
      <c r="W58" s="697">
        <f t="shared" si="0"/>
        <v>1.1555555555555554</v>
      </c>
      <c r="X58" s="913">
        <v>1.56</v>
      </c>
      <c r="Y58" s="913"/>
      <c r="Z58" s="693"/>
      <c r="AA58" s="693" t="s">
        <v>1063</v>
      </c>
      <c r="AB58" s="693"/>
      <c r="AC58" s="85"/>
      <c r="AM58" s="95"/>
      <c r="AO58" s="107"/>
      <c r="AT58" s="67"/>
      <c r="AV58" s="70"/>
    </row>
    <row r="59" spans="1:48" ht="19.5" customHeight="1" x14ac:dyDescent="0.2">
      <c r="B59" s="694">
        <v>21</v>
      </c>
      <c r="C59" s="693" t="s">
        <v>592</v>
      </c>
      <c r="D59" s="693"/>
      <c r="E59" s="693"/>
      <c r="F59" s="693"/>
      <c r="G59" s="693"/>
      <c r="H59" s="693"/>
      <c r="I59" s="693"/>
      <c r="J59" s="693"/>
      <c r="K59" s="408" t="s">
        <v>1081</v>
      </c>
      <c r="L59" s="693"/>
      <c r="M59" s="693"/>
      <c r="N59" s="693"/>
      <c r="O59" s="693"/>
      <c r="P59" s="693"/>
      <c r="Q59" s="693"/>
      <c r="R59" s="693"/>
      <c r="S59" s="695"/>
      <c r="T59" s="693"/>
      <c r="U59" s="913">
        <v>1.1000000000000001</v>
      </c>
      <c r="V59" s="913"/>
      <c r="W59" s="697">
        <f t="shared" si="0"/>
        <v>1.1909090909090909</v>
      </c>
      <c r="X59" s="913">
        <v>1.31</v>
      </c>
      <c r="Y59" s="913"/>
      <c r="Z59" s="693"/>
      <c r="AA59" s="693" t="s">
        <v>1086</v>
      </c>
      <c r="AB59" s="693"/>
      <c r="AC59" s="85"/>
      <c r="AM59" s="95"/>
      <c r="AO59" s="107"/>
      <c r="AT59" s="67"/>
      <c r="AV59" s="70"/>
    </row>
    <row r="60" spans="1:48" ht="19.5" customHeight="1" x14ac:dyDescent="0.2">
      <c r="B60" s="694">
        <v>22</v>
      </c>
      <c r="C60" s="693" t="s">
        <v>633</v>
      </c>
      <c r="D60" s="693"/>
      <c r="E60" s="693"/>
      <c r="F60" s="693"/>
      <c r="G60" s="693"/>
      <c r="H60" s="693"/>
      <c r="I60" s="693"/>
      <c r="J60" s="693"/>
      <c r="K60" s="408" t="s">
        <v>622</v>
      </c>
      <c r="L60" s="693"/>
      <c r="M60" s="693"/>
      <c r="N60" s="693"/>
      <c r="O60" s="693"/>
      <c r="P60" s="693"/>
      <c r="Q60" s="693"/>
      <c r="R60" s="693"/>
      <c r="S60" s="695"/>
      <c r="T60" s="693"/>
      <c r="U60" s="913">
        <v>1.24</v>
      </c>
      <c r="V60" s="913"/>
      <c r="W60" s="697">
        <f t="shared" si="0"/>
        <v>1.2016129032258065</v>
      </c>
      <c r="X60" s="913">
        <v>1.49</v>
      </c>
      <c r="Y60" s="913"/>
      <c r="Z60" s="693"/>
      <c r="AA60" s="693" t="s">
        <v>1063</v>
      </c>
      <c r="AB60" s="693"/>
      <c r="AC60" s="85"/>
      <c r="AM60" s="95"/>
      <c r="AT60" s="67"/>
      <c r="AV60" s="70"/>
    </row>
    <row r="61" spans="1:48" ht="19.5" customHeight="1" x14ac:dyDescent="0.2">
      <c r="A61" s="80" t="s">
        <v>62</v>
      </c>
      <c r="B61" s="694">
        <v>23</v>
      </c>
      <c r="C61" s="693" t="s">
        <v>597</v>
      </c>
      <c r="D61" s="693"/>
      <c r="E61" s="693"/>
      <c r="F61" s="693"/>
      <c r="G61" s="693"/>
      <c r="H61" s="693"/>
      <c r="I61" s="693"/>
      <c r="J61" s="693"/>
      <c r="K61" s="408" t="s">
        <v>593</v>
      </c>
      <c r="L61" s="693"/>
      <c r="M61" s="693"/>
      <c r="N61" s="693"/>
      <c r="O61" s="693"/>
      <c r="P61" s="693"/>
      <c r="Q61" s="693"/>
      <c r="R61" s="693"/>
      <c r="S61" s="695"/>
      <c r="T61" s="693"/>
      <c r="U61" s="913">
        <v>1.32</v>
      </c>
      <c r="V61" s="913"/>
      <c r="W61" s="697">
        <f t="shared" si="0"/>
        <v>1.1590909090909089</v>
      </c>
      <c r="X61" s="913">
        <v>1.53</v>
      </c>
      <c r="Y61" s="913"/>
      <c r="Z61" s="693"/>
      <c r="AA61" s="693" t="s">
        <v>1063</v>
      </c>
      <c r="AB61" s="693"/>
      <c r="AC61" s="85"/>
      <c r="AM61" s="95"/>
      <c r="AT61" s="67"/>
      <c r="AV61" s="70"/>
    </row>
    <row r="62" spans="1:48" ht="19.5" customHeight="1" x14ac:dyDescent="0.2">
      <c r="A62" s="80" t="s">
        <v>62</v>
      </c>
      <c r="B62" s="694">
        <v>24</v>
      </c>
      <c r="C62" s="693" t="s">
        <v>1082</v>
      </c>
      <c r="D62" s="693"/>
      <c r="E62" s="693"/>
      <c r="F62" s="693"/>
      <c r="G62" s="693"/>
      <c r="H62" s="693"/>
      <c r="I62" s="693"/>
      <c r="J62" s="693"/>
      <c r="K62" s="408" t="s">
        <v>1083</v>
      </c>
      <c r="L62" s="693"/>
      <c r="M62" s="693"/>
      <c r="N62" s="693"/>
      <c r="O62" s="693"/>
      <c r="P62" s="693"/>
      <c r="Q62" s="693"/>
      <c r="R62" s="693"/>
      <c r="S62" s="695"/>
      <c r="T62" s="693"/>
      <c r="U62" s="913">
        <v>1.54</v>
      </c>
      <c r="V62" s="913"/>
      <c r="W62" s="697">
        <f t="shared" si="0"/>
        <v>1.1298701298701299</v>
      </c>
      <c r="X62" s="913">
        <v>1.74</v>
      </c>
      <c r="Y62" s="913"/>
      <c r="Z62" s="693"/>
      <c r="AA62" s="693" t="s">
        <v>1063</v>
      </c>
      <c r="AB62" s="693"/>
      <c r="AC62" s="85"/>
      <c r="AM62" s="95"/>
      <c r="AT62" s="67"/>
      <c r="AV62" s="70"/>
    </row>
    <row r="63" spans="1:48" ht="19.5" customHeight="1" x14ac:dyDescent="0.2">
      <c r="B63" s="694">
        <v>25</v>
      </c>
      <c r="C63" s="693" t="s">
        <v>624</v>
      </c>
      <c r="D63" s="693"/>
      <c r="E63" s="693"/>
      <c r="F63" s="693"/>
      <c r="G63" s="693"/>
      <c r="H63" s="693"/>
      <c r="I63" s="693"/>
      <c r="J63" s="693"/>
      <c r="K63" s="408" t="s">
        <v>1079</v>
      </c>
      <c r="L63" s="693"/>
      <c r="M63" s="693"/>
      <c r="N63" s="693"/>
      <c r="O63" s="693"/>
      <c r="P63" s="693"/>
      <c r="Q63" s="693"/>
      <c r="R63" s="693"/>
      <c r="S63" s="695"/>
      <c r="T63" s="693"/>
      <c r="U63" s="913">
        <v>1.24</v>
      </c>
      <c r="V63" s="913"/>
      <c r="W63" s="697">
        <f t="shared" si="0"/>
        <v>1.0564516129032258</v>
      </c>
      <c r="X63" s="913">
        <v>1.31</v>
      </c>
      <c r="Y63" s="913"/>
      <c r="Z63" s="693"/>
      <c r="AA63" s="693" t="s">
        <v>1086</v>
      </c>
      <c r="AB63" s="693"/>
      <c r="AC63" s="85"/>
      <c r="AM63" s="95"/>
      <c r="AT63" s="67"/>
      <c r="AV63" s="70"/>
    </row>
    <row r="64" spans="1:48" ht="19.5" customHeight="1" x14ac:dyDescent="0.2">
      <c r="B64" s="694">
        <v>26</v>
      </c>
      <c r="C64" s="693" t="s">
        <v>635</v>
      </c>
      <c r="D64" s="693"/>
      <c r="E64" s="693"/>
      <c r="F64" s="693"/>
      <c r="G64" s="693"/>
      <c r="H64" s="693"/>
      <c r="I64" s="693"/>
      <c r="J64" s="693"/>
      <c r="K64" s="408" t="s">
        <v>671</v>
      </c>
      <c r="L64" s="693"/>
      <c r="M64" s="693"/>
      <c r="N64" s="693"/>
      <c r="O64" s="693"/>
      <c r="P64" s="693"/>
      <c r="Q64" s="693"/>
      <c r="R64" s="693"/>
      <c r="S64" s="695"/>
      <c r="T64" s="693"/>
      <c r="U64" s="913">
        <v>1.1399999999999999</v>
      </c>
      <c r="V64" s="913"/>
      <c r="W64" s="697">
        <f t="shared" si="0"/>
        <v>1.2105263157894737</v>
      </c>
      <c r="X64" s="913">
        <v>1.38</v>
      </c>
      <c r="Y64" s="913"/>
      <c r="Z64" s="693"/>
      <c r="AA64" s="693" t="s">
        <v>1063</v>
      </c>
      <c r="AB64" s="693"/>
      <c r="AC64" s="85"/>
      <c r="AM64" s="95"/>
      <c r="AT64" s="67"/>
      <c r="AV64" s="70"/>
    </row>
    <row r="65" spans="1:49" ht="19.5" customHeight="1" x14ac:dyDescent="0.2">
      <c r="B65" s="694">
        <v>27</v>
      </c>
      <c r="C65" s="693" t="s">
        <v>594</v>
      </c>
      <c r="D65" s="693"/>
      <c r="E65" s="693"/>
      <c r="F65" s="693"/>
      <c r="G65" s="693"/>
      <c r="H65" s="693"/>
      <c r="I65" s="693"/>
      <c r="J65" s="693"/>
      <c r="K65" s="408" t="s">
        <v>636</v>
      </c>
      <c r="L65" s="693"/>
      <c r="M65" s="693"/>
      <c r="N65" s="693"/>
      <c r="O65" s="693"/>
      <c r="P65" s="693"/>
      <c r="Q65" s="693"/>
      <c r="R65" s="693"/>
      <c r="S65" s="695"/>
      <c r="T65" s="693"/>
      <c r="U65" s="913">
        <v>1.1499999999999999</v>
      </c>
      <c r="V65" s="913"/>
      <c r="W65" s="697">
        <f t="shared" si="0"/>
        <v>1.2347826086956522</v>
      </c>
      <c r="X65" s="913">
        <v>1.42</v>
      </c>
      <c r="Y65" s="913"/>
      <c r="Z65" s="693"/>
      <c r="AA65" s="693" t="s">
        <v>1063</v>
      </c>
      <c r="AB65" s="693"/>
      <c r="AC65" s="85"/>
      <c r="AT65" s="67"/>
      <c r="AV65" s="70"/>
    </row>
    <row r="66" spans="1:49" ht="19.5" customHeight="1" x14ac:dyDescent="0.2">
      <c r="A66" s="80" t="s">
        <v>62</v>
      </c>
      <c r="B66" s="694">
        <v>28</v>
      </c>
      <c r="C66" s="693" t="s">
        <v>1064</v>
      </c>
      <c r="D66" s="693"/>
      <c r="E66" s="693"/>
      <c r="F66" s="693"/>
      <c r="G66" s="693"/>
      <c r="H66" s="693"/>
      <c r="I66" s="693"/>
      <c r="J66" s="693"/>
      <c r="K66" s="408" t="s">
        <v>1069</v>
      </c>
      <c r="L66" s="693"/>
      <c r="M66" s="693"/>
      <c r="N66" s="693"/>
      <c r="O66" s="693"/>
      <c r="P66" s="693"/>
      <c r="Q66" s="693"/>
      <c r="R66" s="693"/>
      <c r="S66" s="695"/>
      <c r="T66" s="693"/>
      <c r="U66" s="913">
        <v>1.24</v>
      </c>
      <c r="V66" s="913"/>
      <c r="W66" s="697">
        <f t="shared" si="0"/>
        <v>1.1935483870967742</v>
      </c>
      <c r="X66" s="913">
        <v>1.48</v>
      </c>
      <c r="Y66" s="913"/>
      <c r="Z66" s="693"/>
      <c r="AA66" s="693" t="s">
        <v>1086</v>
      </c>
      <c r="AB66" s="693"/>
      <c r="AC66" s="85"/>
      <c r="AT66" s="67"/>
      <c r="AV66" s="70"/>
    </row>
    <row r="67" spans="1:49" ht="19.5" customHeight="1" x14ac:dyDescent="0.2">
      <c r="B67" s="694">
        <v>29</v>
      </c>
      <c r="C67" s="693" t="s">
        <v>1065</v>
      </c>
      <c r="D67" s="693"/>
      <c r="E67" s="693"/>
      <c r="F67" s="693"/>
      <c r="G67" s="693"/>
      <c r="H67" s="693"/>
      <c r="I67" s="693"/>
      <c r="J67" s="693"/>
      <c r="K67" s="408" t="s">
        <v>1070</v>
      </c>
      <c r="L67" s="693"/>
      <c r="M67" s="693"/>
      <c r="N67" s="693"/>
      <c r="O67" s="693"/>
      <c r="P67" s="693"/>
      <c r="Q67" s="693"/>
      <c r="R67" s="693"/>
      <c r="S67" s="695"/>
      <c r="T67" s="693"/>
      <c r="U67" s="913">
        <v>1.31</v>
      </c>
      <c r="V67" s="913"/>
      <c r="W67" s="697">
        <f t="shared" si="0"/>
        <v>1.1984732824427482</v>
      </c>
      <c r="X67" s="913">
        <v>1.57</v>
      </c>
      <c r="Y67" s="913"/>
      <c r="Z67" s="693"/>
      <c r="AA67" s="693" t="s">
        <v>1086</v>
      </c>
      <c r="AB67" s="693"/>
      <c r="AC67" s="85"/>
      <c r="AL67" s="108"/>
      <c r="AM67" s="109"/>
      <c r="AN67" s="109"/>
      <c r="AT67" s="67"/>
      <c r="AV67" s="70"/>
    </row>
    <row r="68" spans="1:49" ht="19.5" customHeight="1" x14ac:dyDescent="0.2">
      <c r="B68" s="694">
        <v>30</v>
      </c>
      <c r="C68" s="693" t="s">
        <v>1066</v>
      </c>
      <c r="D68" s="693"/>
      <c r="E68" s="693"/>
      <c r="F68" s="693"/>
      <c r="G68" s="693"/>
      <c r="H68" s="693"/>
      <c r="I68" s="693"/>
      <c r="J68" s="693"/>
      <c r="K68" s="408" t="s">
        <v>1071</v>
      </c>
      <c r="L68" s="693"/>
      <c r="M68" s="693"/>
      <c r="N68" s="693"/>
      <c r="O68" s="693"/>
      <c r="P68" s="693"/>
      <c r="Q68" s="693"/>
      <c r="R68" s="693"/>
      <c r="S68" s="695"/>
      <c r="T68" s="693"/>
      <c r="U68" s="913">
        <v>1.35</v>
      </c>
      <c r="V68" s="913"/>
      <c r="W68" s="697">
        <f t="shared" si="0"/>
        <v>1.1851851851851851</v>
      </c>
      <c r="X68" s="913">
        <v>1.6</v>
      </c>
      <c r="Y68" s="913"/>
      <c r="Z68" s="693"/>
      <c r="AA68" s="693" t="s">
        <v>1063</v>
      </c>
      <c r="AB68" s="693"/>
      <c r="AC68" s="85"/>
      <c r="AL68" s="108"/>
      <c r="AU68" s="67"/>
      <c r="AW68" s="70"/>
    </row>
    <row r="69" spans="1:49" ht="19.5" customHeight="1" x14ac:dyDescent="0.2">
      <c r="B69" s="694">
        <v>31</v>
      </c>
      <c r="C69" s="693" t="s">
        <v>628</v>
      </c>
      <c r="D69" s="693"/>
      <c r="E69" s="693"/>
      <c r="F69" s="693"/>
      <c r="G69" s="693"/>
      <c r="H69" s="693"/>
      <c r="I69" s="693"/>
      <c r="J69" s="693"/>
      <c r="K69" s="408" t="s">
        <v>675</v>
      </c>
      <c r="L69" s="693"/>
      <c r="M69" s="693"/>
      <c r="N69" s="693"/>
      <c r="O69" s="693"/>
      <c r="P69" s="693"/>
      <c r="Q69" s="693"/>
      <c r="R69" s="693"/>
      <c r="S69" s="695"/>
      <c r="T69" s="693"/>
      <c r="U69" s="913">
        <v>0.78</v>
      </c>
      <c r="V69" s="913"/>
      <c r="W69" s="697">
        <f t="shared" si="0"/>
        <v>1.2435897435897436</v>
      </c>
      <c r="X69" s="913">
        <v>0.97</v>
      </c>
      <c r="Y69" s="913"/>
      <c r="Z69" s="693"/>
      <c r="AA69" s="693" t="s">
        <v>1086</v>
      </c>
      <c r="AB69" s="693"/>
      <c r="AC69" s="85"/>
      <c r="AL69" s="108"/>
      <c r="AU69" s="67"/>
      <c r="AW69" s="70"/>
    </row>
    <row r="70" spans="1:49" ht="19.5" customHeight="1" x14ac:dyDescent="0.2">
      <c r="B70" s="694">
        <v>32</v>
      </c>
      <c r="C70" s="693" t="s">
        <v>596</v>
      </c>
      <c r="D70" s="693"/>
      <c r="E70" s="693"/>
      <c r="F70" s="693"/>
      <c r="G70" s="693"/>
      <c r="H70" s="693"/>
      <c r="I70" s="693"/>
      <c r="J70" s="693"/>
      <c r="K70" s="408" t="s">
        <v>676</v>
      </c>
      <c r="L70" s="693"/>
      <c r="M70" s="693"/>
      <c r="N70" s="693"/>
      <c r="O70" s="693"/>
      <c r="P70" s="693"/>
      <c r="Q70" s="693"/>
      <c r="R70" s="693"/>
      <c r="S70" s="695"/>
      <c r="T70" s="693"/>
      <c r="U70" s="913">
        <v>0.78</v>
      </c>
      <c r="V70" s="913"/>
      <c r="W70" s="697">
        <f t="shared" si="0"/>
        <v>1.3333333333333333</v>
      </c>
      <c r="X70" s="913">
        <v>1.04</v>
      </c>
      <c r="Y70" s="913"/>
      <c r="Z70" s="693"/>
      <c r="AA70" s="693" t="s">
        <v>1063</v>
      </c>
      <c r="AB70" s="693"/>
      <c r="AC70" s="85"/>
      <c r="AL70" s="108"/>
      <c r="AU70" s="67"/>
      <c r="AW70" s="70"/>
    </row>
    <row r="71" spans="1:49" ht="19.5" customHeight="1" x14ac:dyDescent="0.2">
      <c r="B71" s="694">
        <v>33</v>
      </c>
      <c r="C71" s="693" t="s">
        <v>627</v>
      </c>
      <c r="D71" s="693"/>
      <c r="E71" s="693"/>
      <c r="F71" s="693"/>
      <c r="G71" s="693"/>
      <c r="H71" s="693"/>
      <c r="I71" s="693"/>
      <c r="J71" s="693"/>
      <c r="K71" s="408" t="s">
        <v>1078</v>
      </c>
      <c r="L71" s="693"/>
      <c r="M71" s="693"/>
      <c r="N71" s="693"/>
      <c r="O71" s="693"/>
      <c r="P71" s="693"/>
      <c r="Q71" s="693"/>
      <c r="R71" s="693"/>
      <c r="S71" s="695"/>
      <c r="T71" s="693"/>
      <c r="U71" s="913">
        <v>0.96</v>
      </c>
      <c r="V71" s="913"/>
      <c r="W71" s="697">
        <f t="shared" si="0"/>
        <v>1.1875</v>
      </c>
      <c r="X71" s="913">
        <v>1.1399999999999999</v>
      </c>
      <c r="Y71" s="913"/>
      <c r="Z71" s="693"/>
      <c r="AA71" s="693" t="s">
        <v>1086</v>
      </c>
      <c r="AB71" s="693"/>
      <c r="AC71" s="85"/>
      <c r="AL71" s="108"/>
      <c r="AT71" s="67"/>
      <c r="AV71" s="70"/>
    </row>
    <row r="72" spans="1:49" ht="19.5" customHeight="1" x14ac:dyDescent="0.2">
      <c r="A72" s="80" t="s">
        <v>62</v>
      </c>
      <c r="B72" s="694">
        <v>34</v>
      </c>
      <c r="C72" s="693" t="s">
        <v>595</v>
      </c>
      <c r="D72" s="693"/>
      <c r="E72" s="693"/>
      <c r="F72" s="693"/>
      <c r="G72" s="693"/>
      <c r="H72" s="693"/>
      <c r="I72" s="693"/>
      <c r="J72" s="693"/>
      <c r="K72" s="408" t="s">
        <v>672</v>
      </c>
      <c r="L72" s="693"/>
      <c r="M72" s="693"/>
      <c r="N72" s="693"/>
      <c r="O72" s="693"/>
      <c r="P72" s="693"/>
      <c r="Q72" s="693"/>
      <c r="R72" s="693"/>
      <c r="S72" s="695"/>
      <c r="T72" s="693"/>
      <c r="U72" s="913">
        <v>0.88</v>
      </c>
      <c r="V72" s="913"/>
      <c r="W72" s="697">
        <f t="shared" si="0"/>
        <v>1.1931818181818181</v>
      </c>
      <c r="X72" s="913">
        <v>1.05</v>
      </c>
      <c r="Y72" s="913"/>
      <c r="Z72" s="693"/>
      <c r="AA72" s="693" t="s">
        <v>1063</v>
      </c>
      <c r="AB72" s="693"/>
      <c r="AC72" s="85"/>
      <c r="AL72" s="108"/>
      <c r="AM72" s="110"/>
      <c r="AT72" s="67"/>
      <c r="AV72" s="70"/>
    </row>
    <row r="73" spans="1:49" ht="19.5" customHeight="1" x14ac:dyDescent="0.2">
      <c r="B73" s="694">
        <v>35</v>
      </c>
      <c r="C73" s="693" t="s">
        <v>623</v>
      </c>
      <c r="D73" s="693"/>
      <c r="E73" s="693"/>
      <c r="F73" s="693"/>
      <c r="G73" s="693"/>
      <c r="H73" s="693"/>
      <c r="I73" s="693"/>
      <c r="J73" s="693"/>
      <c r="K73" s="408" t="s">
        <v>589</v>
      </c>
      <c r="L73" s="693"/>
      <c r="M73" s="693"/>
      <c r="N73" s="693"/>
      <c r="O73" s="693"/>
      <c r="P73" s="693"/>
      <c r="Q73" s="693"/>
      <c r="R73" s="693"/>
      <c r="S73" s="695"/>
      <c r="T73" s="693"/>
      <c r="U73" s="913">
        <v>0.93</v>
      </c>
      <c r="V73" s="913"/>
      <c r="W73" s="697">
        <f t="shared" si="0"/>
        <v>1.21505376344086</v>
      </c>
      <c r="X73" s="913">
        <v>1.1299999999999999</v>
      </c>
      <c r="Y73" s="913"/>
      <c r="Z73" s="693"/>
      <c r="AA73" s="693" t="s">
        <v>1063</v>
      </c>
      <c r="AB73" s="693"/>
      <c r="AC73" s="85"/>
      <c r="AL73" s="108"/>
      <c r="AT73" s="67"/>
      <c r="AV73" s="70"/>
    </row>
    <row r="74" spans="1:49" ht="19.5" customHeight="1" x14ac:dyDescent="0.2">
      <c r="B74" s="694">
        <v>36</v>
      </c>
      <c r="C74" s="693" t="s">
        <v>816</v>
      </c>
      <c r="D74" s="693"/>
      <c r="E74" s="693"/>
      <c r="F74" s="693"/>
      <c r="G74" s="693"/>
      <c r="H74" s="693"/>
      <c r="I74" s="693"/>
      <c r="J74" s="693"/>
      <c r="K74" s="408" t="s">
        <v>1072</v>
      </c>
      <c r="L74" s="693"/>
      <c r="M74" s="693"/>
      <c r="N74" s="693"/>
      <c r="O74" s="693"/>
      <c r="P74" s="693"/>
      <c r="Q74" s="693"/>
      <c r="R74" s="693"/>
      <c r="S74" s="695"/>
      <c r="T74" s="693"/>
      <c r="U74" s="913">
        <v>0.91</v>
      </c>
      <c r="V74" s="913"/>
      <c r="W74" s="697">
        <f t="shared" si="0"/>
        <v>1.2527472527472525</v>
      </c>
      <c r="X74" s="913">
        <v>1.1399999999999999</v>
      </c>
      <c r="Y74" s="913"/>
      <c r="Z74" s="693"/>
      <c r="AA74" s="693" t="s">
        <v>1063</v>
      </c>
      <c r="AB74" s="693"/>
      <c r="AC74" s="85"/>
      <c r="AT74" s="67"/>
      <c r="AV74" s="70"/>
    </row>
    <row r="75" spans="1:49" ht="19.5" customHeight="1" x14ac:dyDescent="0.2">
      <c r="A75" s="80" t="s">
        <v>62</v>
      </c>
      <c r="B75" s="694">
        <v>37</v>
      </c>
      <c r="C75" s="693" t="s">
        <v>815</v>
      </c>
      <c r="D75" s="693"/>
      <c r="E75" s="693"/>
      <c r="F75" s="693"/>
      <c r="G75" s="693"/>
      <c r="H75" s="693"/>
      <c r="I75" s="693"/>
      <c r="J75" s="693"/>
      <c r="K75" s="408" t="s">
        <v>590</v>
      </c>
      <c r="L75" s="693"/>
      <c r="M75" s="693"/>
      <c r="N75" s="693"/>
      <c r="O75" s="693"/>
      <c r="P75" s="693"/>
      <c r="Q75" s="693"/>
      <c r="R75" s="693"/>
      <c r="S75" s="693"/>
      <c r="T75" s="693"/>
      <c r="U75" s="913">
        <v>0.91</v>
      </c>
      <c r="V75" s="913"/>
      <c r="W75" s="697">
        <f t="shared" si="0"/>
        <v>1.2307692307692308</v>
      </c>
      <c r="X75" s="913">
        <v>1.1200000000000001</v>
      </c>
      <c r="Y75" s="913"/>
      <c r="Z75" s="693"/>
      <c r="AA75" s="693" t="s">
        <v>1063</v>
      </c>
      <c r="AB75" s="693"/>
      <c r="AC75" s="85"/>
      <c r="AT75" s="67"/>
      <c r="AV75" s="70"/>
    </row>
    <row r="76" spans="1:49" ht="19.5" customHeight="1" x14ac:dyDescent="0.2">
      <c r="B76" s="694">
        <v>38</v>
      </c>
      <c r="C76" s="693" t="s">
        <v>1095</v>
      </c>
      <c r="D76" s="693"/>
      <c r="E76" s="693"/>
      <c r="F76" s="693"/>
      <c r="G76" s="693"/>
      <c r="H76" s="693"/>
      <c r="I76" s="693"/>
      <c r="J76" s="693"/>
      <c r="K76" s="408" t="s">
        <v>591</v>
      </c>
      <c r="L76" s="693"/>
      <c r="M76" s="693"/>
      <c r="N76" s="693"/>
      <c r="O76" s="693"/>
      <c r="P76" s="693"/>
      <c r="Q76" s="693"/>
      <c r="R76" s="693"/>
      <c r="S76" s="693"/>
      <c r="T76" s="693"/>
      <c r="U76" s="913">
        <v>0.99</v>
      </c>
      <c r="V76" s="913"/>
      <c r="W76" s="697">
        <f t="shared" si="0"/>
        <v>1.2323232323232323</v>
      </c>
      <c r="X76" s="913">
        <v>1.22</v>
      </c>
      <c r="Y76" s="913"/>
      <c r="Z76" s="693"/>
      <c r="AA76" s="693" t="s">
        <v>1063</v>
      </c>
      <c r="AB76" s="693"/>
      <c r="AC76" s="85"/>
      <c r="AT76" s="67"/>
      <c r="AV76" s="70"/>
    </row>
    <row r="77" spans="1:49" ht="19.5" customHeight="1" x14ac:dyDescent="0.2">
      <c r="B77" s="694">
        <v>39</v>
      </c>
      <c r="C77" s="693" t="s">
        <v>1096</v>
      </c>
      <c r="D77" s="693"/>
      <c r="E77" s="693"/>
      <c r="F77" s="693"/>
      <c r="G77" s="693"/>
      <c r="H77" s="693"/>
      <c r="I77" s="693"/>
      <c r="J77" s="693"/>
      <c r="K77" s="408" t="s">
        <v>1080</v>
      </c>
      <c r="L77" s="693"/>
      <c r="M77" s="693"/>
      <c r="N77" s="693"/>
      <c r="O77" s="693"/>
      <c r="P77" s="693"/>
      <c r="Q77" s="693"/>
      <c r="R77" s="693"/>
      <c r="S77" s="693"/>
      <c r="T77" s="693"/>
      <c r="U77" s="913">
        <v>1.25</v>
      </c>
      <c r="V77" s="913"/>
      <c r="W77" s="697">
        <f t="shared" si="0"/>
        <v>1.1439999999999999</v>
      </c>
      <c r="X77" s="913">
        <v>1.43</v>
      </c>
      <c r="Y77" s="913"/>
      <c r="Z77" s="693"/>
      <c r="AA77" s="693" t="s">
        <v>1063</v>
      </c>
      <c r="AB77" s="693"/>
      <c r="AC77" s="85"/>
      <c r="AT77" s="67"/>
      <c r="AV77" s="70"/>
    </row>
    <row r="78" spans="1:49" ht="19.5" customHeight="1" x14ac:dyDescent="0.2">
      <c r="B78" s="694">
        <v>40</v>
      </c>
      <c r="C78" s="693" t="s">
        <v>637</v>
      </c>
      <c r="D78" s="693"/>
      <c r="E78" s="693"/>
      <c r="F78" s="693"/>
      <c r="G78" s="693"/>
      <c r="H78" s="693"/>
      <c r="I78" s="693"/>
      <c r="J78" s="693"/>
      <c r="K78" s="408" t="s">
        <v>1073</v>
      </c>
      <c r="L78" s="693"/>
      <c r="M78" s="693"/>
      <c r="N78" s="693"/>
      <c r="O78" s="693"/>
      <c r="P78" s="693"/>
      <c r="Q78" s="693"/>
      <c r="R78" s="693"/>
      <c r="S78" s="693"/>
      <c r="T78" s="693"/>
      <c r="U78" s="913">
        <v>0.95</v>
      </c>
      <c r="V78" s="913"/>
      <c r="W78" s="697">
        <f t="shared" si="0"/>
        <v>1.1157894736842107</v>
      </c>
      <c r="X78" s="913">
        <v>1.06</v>
      </c>
      <c r="Y78" s="913"/>
      <c r="Z78" s="693"/>
      <c r="AA78" s="693" t="s">
        <v>1063</v>
      </c>
      <c r="AB78" s="693"/>
      <c r="AC78" s="85"/>
      <c r="AT78" s="67"/>
      <c r="AV78" s="70"/>
    </row>
    <row r="79" spans="1:49" ht="19.5" customHeight="1" x14ac:dyDescent="0.2">
      <c r="B79" s="694">
        <v>41</v>
      </c>
      <c r="C79" s="693" t="s">
        <v>625</v>
      </c>
      <c r="D79" s="693"/>
      <c r="E79" s="693"/>
      <c r="F79" s="693"/>
      <c r="G79" s="693"/>
      <c r="H79" s="693"/>
      <c r="I79" s="693"/>
      <c r="J79" s="693"/>
      <c r="K79" s="408" t="s">
        <v>1074</v>
      </c>
      <c r="L79" s="693"/>
      <c r="M79" s="693"/>
      <c r="N79" s="693"/>
      <c r="O79" s="693"/>
      <c r="P79" s="693"/>
      <c r="Q79" s="693"/>
      <c r="R79" s="693"/>
      <c r="S79" s="693"/>
      <c r="T79" s="693"/>
      <c r="U79" s="913">
        <v>1.35</v>
      </c>
      <c r="V79" s="913"/>
      <c r="W79" s="697">
        <f t="shared" si="0"/>
        <v>1.2222222222222221</v>
      </c>
      <c r="X79" s="913">
        <v>1.65</v>
      </c>
      <c r="Y79" s="913"/>
      <c r="Z79" s="693"/>
      <c r="AA79" s="693" t="s">
        <v>1063</v>
      </c>
      <c r="AB79" s="693"/>
      <c r="AC79" s="85"/>
      <c r="AT79" s="67"/>
      <c r="AV79" s="70"/>
    </row>
    <row r="80" spans="1:49" ht="19.5" customHeight="1" x14ac:dyDescent="0.2">
      <c r="B80" s="694">
        <v>42</v>
      </c>
      <c r="C80" s="693" t="s">
        <v>626</v>
      </c>
      <c r="D80" s="693"/>
      <c r="E80" s="693"/>
      <c r="F80" s="693"/>
      <c r="G80" s="693"/>
      <c r="H80" s="693"/>
      <c r="I80" s="693"/>
      <c r="J80" s="693"/>
      <c r="K80" s="408" t="s">
        <v>1075</v>
      </c>
      <c r="L80" s="693"/>
      <c r="M80" s="693"/>
      <c r="N80" s="693"/>
      <c r="O80" s="693"/>
      <c r="P80" s="693"/>
      <c r="Q80" s="693"/>
      <c r="R80" s="693"/>
      <c r="S80" s="693"/>
      <c r="T80" s="693"/>
      <c r="U80" s="913">
        <v>1.86</v>
      </c>
      <c r="V80" s="913"/>
      <c r="W80" s="697">
        <f t="shared" si="0"/>
        <v>1.0913978494623655</v>
      </c>
      <c r="X80" s="913">
        <v>2.0299999999999998</v>
      </c>
      <c r="Y80" s="913"/>
      <c r="Z80" s="693"/>
      <c r="AA80" s="693" t="s">
        <v>1063</v>
      </c>
      <c r="AB80" s="693"/>
      <c r="AC80" s="85"/>
      <c r="AT80" s="67"/>
      <c r="AV80" s="70"/>
    </row>
    <row r="81" spans="2:48" ht="19.5" customHeight="1" x14ac:dyDescent="0.2">
      <c r="B81" s="694">
        <v>43</v>
      </c>
      <c r="C81" s="693" t="s">
        <v>650</v>
      </c>
      <c r="D81" s="693"/>
      <c r="E81" s="693"/>
      <c r="F81" s="693"/>
      <c r="G81" s="693"/>
      <c r="H81" s="693"/>
      <c r="I81" s="693"/>
      <c r="J81" s="693"/>
      <c r="K81" s="408" t="s">
        <v>1076</v>
      </c>
      <c r="L81" s="693"/>
      <c r="M81" s="693"/>
      <c r="N81" s="693"/>
      <c r="O81" s="693"/>
      <c r="P81" s="693"/>
      <c r="Q81" s="693"/>
      <c r="R81" s="693"/>
      <c r="S81" s="693"/>
      <c r="T81" s="693"/>
      <c r="U81" s="913">
        <v>1.06</v>
      </c>
      <c r="V81" s="913"/>
      <c r="W81" s="697">
        <f t="shared" si="0"/>
        <v>1.1509433962264151</v>
      </c>
      <c r="X81" s="913">
        <v>1.22</v>
      </c>
      <c r="Y81" s="913"/>
      <c r="Z81" s="693"/>
      <c r="AA81" s="693" t="s">
        <v>1077</v>
      </c>
      <c r="AB81" s="693"/>
      <c r="AC81" s="85"/>
      <c r="AT81" s="67"/>
      <c r="AV81" s="70"/>
    </row>
    <row r="82" spans="2:48" ht="19.5" customHeight="1" x14ac:dyDescent="0.2">
      <c r="B82" s="694">
        <v>44</v>
      </c>
      <c r="C82" s="693" t="s">
        <v>647</v>
      </c>
      <c r="D82" s="693"/>
      <c r="E82" s="693"/>
      <c r="F82" s="693"/>
      <c r="G82" s="693"/>
      <c r="H82" s="693"/>
      <c r="I82" s="693"/>
      <c r="J82" s="693"/>
      <c r="K82" s="408" t="s">
        <v>1076</v>
      </c>
      <c r="L82" s="693"/>
      <c r="M82" s="693"/>
      <c r="N82" s="693"/>
      <c r="O82" s="693"/>
      <c r="P82" s="693"/>
      <c r="Q82" s="693"/>
      <c r="R82" s="693"/>
      <c r="S82" s="693"/>
      <c r="T82" s="693"/>
      <c r="U82" s="913">
        <v>0.83</v>
      </c>
      <c r="V82" s="913"/>
      <c r="W82" s="697">
        <f t="shared" si="0"/>
        <v>1.2048192771084338</v>
      </c>
      <c r="X82" s="913">
        <v>1</v>
      </c>
      <c r="Y82" s="913"/>
      <c r="Z82" s="693"/>
      <c r="AA82" s="693" t="s">
        <v>1077</v>
      </c>
      <c r="AB82" s="693"/>
      <c r="AC82" s="85"/>
      <c r="AT82" s="67"/>
      <c r="AV82" s="70"/>
    </row>
    <row r="83" spans="2:48" ht="19.5" customHeight="1" x14ac:dyDescent="0.2">
      <c r="B83" s="694">
        <v>45</v>
      </c>
      <c r="C83" s="693" t="s">
        <v>648</v>
      </c>
      <c r="D83" s="693"/>
      <c r="E83" s="693"/>
      <c r="F83" s="693"/>
      <c r="G83" s="693"/>
      <c r="H83" s="693"/>
      <c r="I83" s="693"/>
      <c r="J83" s="693"/>
      <c r="K83" s="408" t="s">
        <v>1076</v>
      </c>
      <c r="L83" s="693"/>
      <c r="M83" s="693"/>
      <c r="N83" s="693"/>
      <c r="O83" s="693"/>
      <c r="P83" s="693"/>
      <c r="Q83" s="693"/>
      <c r="R83" s="693"/>
      <c r="S83" s="693"/>
      <c r="T83" s="693"/>
      <c r="U83" s="913">
        <v>0.98</v>
      </c>
      <c r="V83" s="913"/>
      <c r="W83" s="697">
        <f t="shared" si="0"/>
        <v>1.2959183673469388</v>
      </c>
      <c r="X83" s="913">
        <v>1.27</v>
      </c>
      <c r="Y83" s="913"/>
      <c r="Z83" s="693"/>
      <c r="AA83" s="693" t="s">
        <v>1077</v>
      </c>
      <c r="AB83" s="693"/>
      <c r="AC83" s="85"/>
      <c r="AT83" s="67"/>
      <c r="AV83" s="70"/>
    </row>
    <row r="84" spans="2:48" ht="19.5" customHeight="1" x14ac:dyDescent="0.2">
      <c r="B84" s="694">
        <v>46</v>
      </c>
      <c r="C84" s="693" t="s">
        <v>646</v>
      </c>
      <c r="D84" s="693"/>
      <c r="E84" s="693"/>
      <c r="F84" s="693"/>
      <c r="G84" s="693"/>
      <c r="H84" s="693"/>
      <c r="I84" s="693"/>
      <c r="J84" s="693"/>
      <c r="K84" s="408" t="s">
        <v>634</v>
      </c>
      <c r="L84" s="693"/>
      <c r="M84" s="693"/>
      <c r="N84" s="693"/>
      <c r="O84" s="693"/>
      <c r="P84" s="693"/>
      <c r="Q84" s="693"/>
      <c r="R84" s="693"/>
      <c r="S84" s="693"/>
      <c r="T84" s="693"/>
      <c r="U84" s="913">
        <v>0.84</v>
      </c>
      <c r="V84" s="913"/>
      <c r="W84" s="697">
        <f t="shared" si="0"/>
        <v>1.1428571428571428</v>
      </c>
      <c r="X84" s="913">
        <v>0.96</v>
      </c>
      <c r="Y84" s="913"/>
      <c r="Z84" s="693"/>
      <c r="AA84" s="693" t="s">
        <v>1077</v>
      </c>
      <c r="AB84" s="693"/>
      <c r="AC84" s="85"/>
    </row>
    <row r="85" spans="2:48" ht="19.5" customHeight="1" x14ac:dyDescent="0.2">
      <c r="B85" s="694">
        <v>47</v>
      </c>
      <c r="C85" s="693" t="s">
        <v>649</v>
      </c>
      <c r="D85" s="693"/>
      <c r="E85" s="693"/>
      <c r="F85" s="693"/>
      <c r="G85" s="693"/>
      <c r="H85" s="693"/>
      <c r="I85" s="693"/>
      <c r="J85" s="693"/>
      <c r="K85" s="408" t="s">
        <v>1461</v>
      </c>
      <c r="L85" s="693"/>
      <c r="M85" s="693"/>
      <c r="N85" s="693"/>
      <c r="O85" s="693"/>
      <c r="P85" s="693"/>
      <c r="Q85" s="693"/>
      <c r="R85" s="693"/>
      <c r="S85" s="693"/>
      <c r="T85" s="693"/>
      <c r="U85" s="913">
        <v>0.9</v>
      </c>
      <c r="V85" s="913"/>
      <c r="W85" s="697">
        <f t="shared" si="0"/>
        <v>1.1555555555555557</v>
      </c>
      <c r="X85" s="913">
        <v>1.04</v>
      </c>
      <c r="Y85" s="913"/>
      <c r="Z85" s="693"/>
      <c r="AA85" s="693" t="s">
        <v>1462</v>
      </c>
      <c r="AB85" s="693"/>
      <c r="AC85" s="85"/>
    </row>
    <row r="86" spans="2:48" ht="19.5" customHeight="1" x14ac:dyDescent="0.2">
      <c r="B86" s="694">
        <v>48</v>
      </c>
      <c r="C86" s="693" t="s">
        <v>1097</v>
      </c>
      <c r="D86" s="693"/>
      <c r="E86" s="693"/>
      <c r="F86" s="693"/>
      <c r="G86" s="693"/>
      <c r="H86" s="693"/>
      <c r="I86" s="693"/>
      <c r="J86" s="693"/>
      <c r="K86" s="408" t="s">
        <v>1098</v>
      </c>
      <c r="L86" s="693"/>
      <c r="M86" s="693"/>
      <c r="N86" s="693"/>
      <c r="O86" s="693"/>
      <c r="P86" s="693"/>
      <c r="Q86" s="693"/>
      <c r="R86" s="693"/>
      <c r="S86" s="693"/>
      <c r="T86" s="693"/>
      <c r="U86" s="913">
        <v>1.05</v>
      </c>
      <c r="V86" s="913"/>
      <c r="W86" s="697">
        <f t="shared" si="0"/>
        <v>1.1714285714285713</v>
      </c>
      <c r="X86" s="913">
        <v>1.23</v>
      </c>
      <c r="Y86" s="913"/>
      <c r="Z86" s="693"/>
      <c r="AA86" s="693" t="s">
        <v>1063</v>
      </c>
      <c r="AB86" s="693"/>
    </row>
    <row r="87" spans="2:48" ht="19.5" customHeight="1" x14ac:dyDescent="0.2">
      <c r="B87" s="694">
        <v>49</v>
      </c>
      <c r="C87" s="693"/>
      <c r="D87" s="693"/>
      <c r="E87" s="693"/>
      <c r="F87" s="693"/>
      <c r="G87" s="693"/>
      <c r="H87" s="940"/>
      <c r="I87" s="940"/>
      <c r="J87" s="940"/>
      <c r="K87" s="408"/>
      <c r="L87" s="693"/>
      <c r="M87" s="693"/>
      <c r="N87" s="693"/>
      <c r="O87" s="693"/>
      <c r="P87" s="693"/>
      <c r="Q87" s="693"/>
      <c r="R87" s="693"/>
      <c r="S87" s="693"/>
      <c r="T87" s="693"/>
      <c r="U87" s="700"/>
      <c r="V87" s="700"/>
      <c r="W87" s="693"/>
      <c r="X87" s="700"/>
      <c r="Y87" s="700"/>
      <c r="Z87" s="693"/>
      <c r="AA87" s="693"/>
      <c r="AB87" s="693"/>
    </row>
    <row r="88" spans="2:48" ht="19.5" customHeight="1" x14ac:dyDescent="0.2">
      <c r="B88" s="694">
        <v>50</v>
      </c>
      <c r="C88" s="693"/>
      <c r="D88" s="693"/>
      <c r="E88" s="693"/>
      <c r="F88" s="693"/>
      <c r="G88" s="693"/>
      <c r="H88" s="693"/>
      <c r="I88" s="693"/>
      <c r="J88" s="693"/>
      <c r="K88" s="408"/>
      <c r="L88" s="693"/>
      <c r="M88" s="693"/>
      <c r="N88" s="693"/>
      <c r="O88" s="693"/>
      <c r="P88" s="693"/>
      <c r="Q88" s="693"/>
      <c r="R88" s="693"/>
      <c r="S88" s="695"/>
      <c r="T88" s="693"/>
      <c r="U88" s="700"/>
      <c r="V88" s="696"/>
      <c r="W88" s="697"/>
      <c r="X88" s="700"/>
      <c r="Y88" s="696"/>
      <c r="Z88" s="693"/>
      <c r="AA88" s="693"/>
      <c r="AB88" s="693"/>
    </row>
    <row r="89" spans="2:48" ht="19.5" customHeight="1" x14ac:dyDescent="0.2"/>
    <row r="90" spans="2:48" ht="19.5" customHeight="1" x14ac:dyDescent="0.2"/>
    <row r="91" spans="2:48" ht="19.5" customHeight="1" x14ac:dyDescent="0.2"/>
    <row r="92" spans="2:48" ht="19.5" customHeight="1" x14ac:dyDescent="0.2"/>
    <row r="93" spans="2:48" ht="19.5" customHeight="1" x14ac:dyDescent="0.2"/>
    <row r="94" spans="2:48" ht="19.5" customHeight="1" x14ac:dyDescent="0.2"/>
    <row r="95" spans="2:48" ht="19.5" customHeight="1" x14ac:dyDescent="0.2"/>
    <row r="96" spans="2:48"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sheetData>
  <sheetProtection selectLockedCells="1"/>
  <autoFilter ref="A38:A88" xr:uid="{00000000-0009-0000-0000-000000000000}"/>
  <mergeCells count="146">
    <mergeCell ref="AJ47:AL47"/>
    <mergeCell ref="H87:J87"/>
    <mergeCell ref="AJ56:AL56"/>
    <mergeCell ref="U83:V83"/>
    <mergeCell ref="U84:V84"/>
    <mergeCell ref="U85:V85"/>
    <mergeCell ref="U86:V86"/>
    <mergeCell ref="X86:Y86"/>
    <mergeCell ref="U78:V78"/>
    <mergeCell ref="U79:V79"/>
    <mergeCell ref="U80:V80"/>
    <mergeCell ref="U81:V81"/>
    <mergeCell ref="U65:V65"/>
    <mergeCell ref="U66:V66"/>
    <mergeCell ref="X58:Y58"/>
    <mergeCell ref="X57:Y57"/>
    <mergeCell ref="X56:Y56"/>
    <mergeCell ref="X55:Y55"/>
    <mergeCell ref="X84:Y84"/>
    <mergeCell ref="X85:Y85"/>
    <mergeCell ref="X65:Y65"/>
    <mergeCell ref="X78:Y78"/>
    <mergeCell ref="X79:Y79"/>
    <mergeCell ref="X80:Y80"/>
    <mergeCell ref="AJ3:AL3"/>
    <mergeCell ref="N1:X1"/>
    <mergeCell ref="AJ45:AL45"/>
    <mergeCell ref="AJ14:AL14"/>
    <mergeCell ref="AJ39:AL39"/>
    <mergeCell ref="AJ15:AL15"/>
    <mergeCell ref="AJ16:AL16"/>
    <mergeCell ref="AJ17:AL17"/>
    <mergeCell ref="AJ32:AL32"/>
    <mergeCell ref="AJ27:AL27"/>
    <mergeCell ref="K37:R38"/>
    <mergeCell ref="I1:M1"/>
    <mergeCell ref="H43:J43"/>
    <mergeCell ref="H44:J44"/>
    <mergeCell ref="H41:J41"/>
    <mergeCell ref="H42:J42"/>
    <mergeCell ref="H37:J38"/>
    <mergeCell ref="H39:J39"/>
    <mergeCell ref="H40:J40"/>
    <mergeCell ref="AJ40:AL40"/>
    <mergeCell ref="L4:AB4"/>
    <mergeCell ref="AJ19:AL19"/>
    <mergeCell ref="AJ20:AL20"/>
    <mergeCell ref="AJ21:AL21"/>
    <mergeCell ref="P26:AB28"/>
    <mergeCell ref="AJ7:AL7"/>
    <mergeCell ref="AJ10:AL10"/>
    <mergeCell ref="AJ11:AL11"/>
    <mergeCell ref="AJ12:AL12"/>
    <mergeCell ref="AJ13:AL13"/>
    <mergeCell ref="AJ4:AL4"/>
    <mergeCell ref="AJ5:AL5"/>
    <mergeCell ref="AJ6:AL6"/>
    <mergeCell ref="AJ8:AL8"/>
    <mergeCell ref="AJ9:AL9"/>
    <mergeCell ref="O12:P14"/>
    <mergeCell ref="S12:T14"/>
    <mergeCell ref="U39:V39"/>
    <mergeCell ref="X82:Y82"/>
    <mergeCell ref="X83:Y83"/>
    <mergeCell ref="B6:D8"/>
    <mergeCell ref="B15:D17"/>
    <mergeCell ref="B18:D20"/>
    <mergeCell ref="B21:D23"/>
    <mergeCell ref="U82:V82"/>
    <mergeCell ref="U67:V67"/>
    <mergeCell ref="U68:V68"/>
    <mergeCell ref="U69:V69"/>
    <mergeCell ref="U70:V70"/>
    <mergeCell ref="U71:V71"/>
    <mergeCell ref="U72:V72"/>
    <mergeCell ref="U73:V73"/>
    <mergeCell ref="U74:V74"/>
    <mergeCell ref="U75:V75"/>
    <mergeCell ref="U76:V76"/>
    <mergeCell ref="U77:V77"/>
    <mergeCell ref="B12:D14"/>
    <mergeCell ref="K12:L14"/>
    <mergeCell ref="B37:B38"/>
    <mergeCell ref="C37:G38"/>
    <mergeCell ref="X59:Y59"/>
    <mergeCell ref="X81:Y81"/>
    <mergeCell ref="X64:Y64"/>
    <mergeCell ref="U64:V64"/>
    <mergeCell ref="U63:V63"/>
    <mergeCell ref="U62:V62"/>
    <mergeCell ref="U61:V61"/>
    <mergeCell ref="X69:Y69"/>
    <mergeCell ref="X70:Y70"/>
    <mergeCell ref="X71:Y71"/>
    <mergeCell ref="X72:Y72"/>
    <mergeCell ref="X73:Y73"/>
    <mergeCell ref="X74:Y74"/>
    <mergeCell ref="X75:Y75"/>
    <mergeCell ref="X76:Y76"/>
    <mergeCell ref="X77:Y77"/>
    <mergeCell ref="X66:Y66"/>
    <mergeCell ref="X67:Y67"/>
    <mergeCell ref="X68:Y68"/>
    <mergeCell ref="X44:Y44"/>
    <mergeCell ref="U57:V57"/>
    <mergeCell ref="U56:V56"/>
    <mergeCell ref="U55:V55"/>
    <mergeCell ref="U54:V54"/>
    <mergeCell ref="U53:V53"/>
    <mergeCell ref="U52:V52"/>
    <mergeCell ref="U51:V51"/>
    <mergeCell ref="U50:V50"/>
    <mergeCell ref="U49:V49"/>
    <mergeCell ref="U48:V48"/>
    <mergeCell ref="U47:V47"/>
    <mergeCell ref="U46:V46"/>
    <mergeCell ref="U45:V45"/>
    <mergeCell ref="U44:V44"/>
    <mergeCell ref="X49:Y49"/>
    <mergeCell ref="X48:Y48"/>
    <mergeCell ref="X47:Y47"/>
    <mergeCell ref="X46:Y46"/>
    <mergeCell ref="X60:Y60"/>
    <mergeCell ref="U60:V60"/>
    <mergeCell ref="U59:V59"/>
    <mergeCell ref="U58:V58"/>
    <mergeCell ref="U37:W38"/>
    <mergeCell ref="X37:Z38"/>
    <mergeCell ref="X61:Y61"/>
    <mergeCell ref="X62:Y62"/>
    <mergeCell ref="X63:Y63"/>
    <mergeCell ref="U40:V40"/>
    <mergeCell ref="U41:V41"/>
    <mergeCell ref="U42:V42"/>
    <mergeCell ref="U43:V43"/>
    <mergeCell ref="X43:Y43"/>
    <mergeCell ref="X42:Y42"/>
    <mergeCell ref="X41:Y41"/>
    <mergeCell ref="X40:Y40"/>
    <mergeCell ref="X39:Y39"/>
    <mergeCell ref="X45:Y45"/>
    <mergeCell ref="X54:Y54"/>
    <mergeCell ref="X53:Y53"/>
    <mergeCell ref="X52:Y52"/>
    <mergeCell ref="X51:Y51"/>
    <mergeCell ref="X50:Y50"/>
  </mergeCells>
  <phoneticPr fontId="7" type="noConversion"/>
  <pageMargins left="0.78750001059638131" right="0.55138889948527015" top="1.3777777353922527" bottom="1.3777777353922527" header="0.67013888888888884" footer="0.47222222222222221"/>
  <pageSetup paperSize="9" scale="73" orientation="portrait" verticalDpi="96" r:id="rId1"/>
  <headerFooter alignWithMargins="0">
    <oddHeader>&amp;R
&amp;G</oddHeader>
    <oddFooter xml:space="preserve">&amp;L&amp;"Univers"&amp;8Index: 104
&amp;6Copyright by Brose. Alle Rechte vorbehalten&amp;8
Source: &amp;F
&amp;C&amp;"Univers"&amp;8Issuer: 
Page: &amp;P/&amp;N (&amp;A)
&amp;R&amp;"Univers"&amp;8Function: 
Date saved: 08. Nov. 10
</oddFooter>
  </headerFooter>
  <customProperties>
    <customPr name="bConfi" r:id="rId2"/>
    <customPr name="bCopy" r:id="rId3"/>
    <customPr name="bCreate" r:id="rId4"/>
    <customPr name="bDate" r:id="rId5"/>
    <customPr name="bFooter" r:id="rId6"/>
    <customPr name="bFunction" r:id="rId7"/>
    <customPr name="bIndex" r:id="rId8"/>
    <customPr name="bLogo" r:id="rId9"/>
    <customPr name="bOptConfi" r:id="rId10"/>
    <customPr name="bPage" r:id="rId11"/>
    <customPr name="bPages" r:id="rId12"/>
    <customPr name="bPath" r:id="rId13"/>
    <customPr name="bRed" r:id="rId14"/>
    <customPr name="bSheet" r:id="rId15"/>
    <customPr name="bSource" r:id="rId16"/>
    <customPr name="bUser" r:id="rId17"/>
    <customPr name="sFunction" r:id="rId18"/>
    <customPr name="sLanguage" r:id="rId19"/>
    <customPr name="sUser" r:id="rId20"/>
  </customProperties>
  <drawing r:id="rId21"/>
  <legacyDrawing r:id="rId22"/>
  <legacyDrawingHF r:id="rId23"/>
  <mc:AlternateContent xmlns:mc="http://schemas.openxmlformats.org/markup-compatibility/2006">
    <mc:Choice Requires="x14">
      <controls>
        <mc:AlternateContent xmlns:mc="http://schemas.openxmlformats.org/markup-compatibility/2006">
          <mc:Choice Requires="x14">
            <control shapeId="5122" r:id="rId24" name="Drop Down 2">
              <controlPr defaultSize="0" autoLine="0" autoPict="0">
                <anchor moveWithCells="1">
                  <from>
                    <xdr:col>1</xdr:col>
                    <xdr:colOff>76200</xdr:colOff>
                    <xdr:row>0</xdr:row>
                    <xdr:rowOff>123825</xdr:rowOff>
                  </from>
                  <to>
                    <xdr:col>7</xdr:col>
                    <xdr:colOff>85725</xdr:colOff>
                    <xdr:row>0</xdr:row>
                    <xdr:rowOff>381000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2EAB907869A14383CB75E9DFB04C10" ma:contentTypeVersion="19" ma:contentTypeDescription="Create a new document." ma:contentTypeScope="" ma:versionID="ebcc7109d806b02575d3c06e30985483">
  <xsd:schema xmlns:xsd="http://www.w3.org/2001/XMLSchema" xmlns:xs="http://www.w3.org/2001/XMLSchema" xmlns:p="http://schemas.microsoft.com/office/2006/metadata/properties" xmlns:ns2="816d22e5-93b6-44cf-a50c-293f858cd7d7" xmlns:ns3="e5a5c70b-14ad-4d46-81f6-8676a668313a" targetNamespace="http://schemas.microsoft.com/office/2006/metadata/properties" ma:root="true" ma:fieldsID="fecc336cf57900b21709b52f19886535" ns2:_="" ns3:_="">
    <xsd:import namespace="816d22e5-93b6-44cf-a50c-293f858cd7d7"/>
    <xsd:import namespace="e5a5c70b-14ad-4d46-81f6-8676a668313a"/>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6d22e5-93b6-44cf-a50c-293f858cd7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65e0e97c-4968-40d3-a9d9-6b699292d5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5a5c70b-14ad-4d46-81f6-8676a668313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470941c2-f939-4b41-8802-7636a9db2366}" ma:internalName="TaxCatchAll" ma:showField="CatchAllData" ma:web="e5a5c70b-14ad-4d46-81f6-8676a66831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16d22e5-93b6-44cf-a50c-293f858cd7d7">
      <Terms xmlns="http://schemas.microsoft.com/office/infopath/2007/PartnerControls"/>
    </lcf76f155ced4ddcb4097134ff3c332f>
    <TaxCatchAll xmlns="e5a5c70b-14ad-4d46-81f6-8676a668313a" xsi:nil="true"/>
  </documentManagement>
</p:properties>
</file>

<file path=customXml/itemProps1.xml><?xml version="1.0" encoding="utf-8"?>
<ds:datastoreItem xmlns:ds="http://schemas.openxmlformats.org/officeDocument/2006/customXml" ds:itemID="{17314596-A6AB-4136-AF62-0489143F3988}"/>
</file>

<file path=customXml/itemProps2.xml><?xml version="1.0" encoding="utf-8"?>
<ds:datastoreItem xmlns:ds="http://schemas.openxmlformats.org/officeDocument/2006/customXml" ds:itemID="{47F98F3C-70BD-405D-9185-1EBA3E5A9CE2}"/>
</file>

<file path=customXml/itemProps3.xml><?xml version="1.0" encoding="utf-8"?>
<ds:datastoreItem xmlns:ds="http://schemas.openxmlformats.org/officeDocument/2006/customXml" ds:itemID="{95AB5223-C304-42DF-BDC3-DE84F6A0C19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5</vt:i4>
      </vt:variant>
    </vt:vector>
  </HeadingPairs>
  <TitlesOfParts>
    <vt:vector size="12" baseType="lpstr">
      <vt:lpstr>1 Injection molding 2K . 3K</vt:lpstr>
      <vt:lpstr>2.1 K1-Analysis</vt:lpstr>
      <vt:lpstr>2.2 K2-Analysis</vt:lpstr>
      <vt:lpstr>2.3 K3-Analysis</vt:lpstr>
      <vt:lpstr>3 Selection fields</vt:lpstr>
      <vt:lpstr>4 Language</vt:lpstr>
      <vt:lpstr>5 Overview</vt:lpstr>
      <vt:lpstr>'1 Injection molding 2K . 3K'!Druckbereich</vt:lpstr>
      <vt:lpstr>'4 Language'!Druckbereich</vt:lpstr>
      <vt:lpstr>'5 Overview'!Druckbereich</vt:lpstr>
      <vt:lpstr>'1 Injection molding 2K . 3K'!Drucktitel</vt:lpstr>
      <vt:lpstr>'5 Overview'!Drucktitel</vt:lpstr>
    </vt:vector>
  </TitlesOfParts>
  <Manager>Salzmann, Michael#salzmmi</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Parameter Sheet Molding</dc:title>
  <dc:creator>Salzmann, Michael</dc:creator>
  <cp:lastModifiedBy>Salzmann, Michael</cp:lastModifiedBy>
  <cp:lastPrinted>2025-04-14T15:28:12Z</cp:lastPrinted>
  <dcterms:created xsi:type="dcterms:W3CDTF">2010-11-04T12:40:18Z</dcterms:created>
  <dcterms:modified xsi:type="dcterms:W3CDTF">2026-09-21T14:24:58Z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aveDate">
    <vt:lpwstr>28.01.2013</vt:lpwstr>
  </property>
  <property fmtid="{D5CDD505-2E9C-101B-9397-08002B2CF9AE}" pid="3" name="scSource">
    <vt:lpwstr> </vt:lpwstr>
  </property>
  <property fmtid="{D5CDD505-2E9C-101B-9397-08002B2CF9AE}" pid="4" name="scUserName">
    <vt:lpwstr>Michael Salzmann</vt:lpwstr>
  </property>
  <property fmtid="{D5CDD505-2E9C-101B-9397-08002B2CF9AE}" pid="5" name="scFunction">
    <vt:lpwstr>ZVE/WS</vt:lpwstr>
  </property>
  <property fmtid="{D5CDD505-2E9C-101B-9397-08002B2CF9AE}" pid="6" name="Document Number">
    <vt:lpwstr>COB-MU-M10933</vt:lpwstr>
  </property>
  <property fmtid="{D5CDD505-2E9C-101B-9397-08002B2CF9AE}" pid="7" name="scIndex">
    <vt:lpwstr>107</vt:lpwstr>
  </property>
  <property fmtid="{D5CDD505-2E9C-101B-9397-08002B2CF9AE}" pid="8" name="Original">
    <vt:lpwstr>MoldingParameter.xlt</vt:lpwstr>
  </property>
  <property fmtid="{D5CDD505-2E9C-101B-9397-08002B2CF9AE}" pid="9" name="CreateDate">
    <vt:lpwstr>19. Dez. 07</vt:lpwstr>
  </property>
  <property fmtid="{D5CDD505-2E9C-101B-9397-08002B2CF9AE}" pid="10" name="ContentTypeId">
    <vt:lpwstr>0x010100BD2EAB907869A14383CB75E9DFB04C10</vt:lpwstr>
  </property>
</Properties>
</file>